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DS471894\Downloads\"/>
    </mc:Choice>
  </mc:AlternateContent>
  <xr:revisionPtr revIDLastSave="0" documentId="8_{C4AEE8F0-EAD3-4B82-902A-85BD9DBB4A1B}" xr6:coauthVersionLast="47" xr6:coauthVersionMax="47" xr10:uidLastSave="{00000000-0000-0000-0000-000000000000}"/>
  <bookViews>
    <workbookView xWindow="-120" yWindow="-120" windowWidth="51840" windowHeight="21240" xr2:uid="{6E6D9E9F-F5CA-4C67-9C22-34457A3F471B}"/>
  </bookViews>
  <sheets>
    <sheet name="Tear" sheetId="12" r:id="rId1"/>
    <sheet name="Operating Model" sheetId="1" r:id="rId2"/>
    <sheet name="DCF Valuation" sheetId="10" r:id="rId3"/>
    <sheet name="Comparable Valuation" sheetId="9" r:id="rId4"/>
    <sheet name="Historical Valuation" sheetId="7" r:id="rId5"/>
    <sheet name="Share Repurchase" sheetId="13" r:id="rId6"/>
    <sheet name="Beta" sheetId="8" state="hidden" r:id="rId7"/>
    <sheet name="Company Info" sheetId="11"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6" i="10" l="1"/>
  <c r="D25" i="10"/>
  <c r="O14" i="9"/>
  <c r="N14" i="9"/>
  <c r="M14" i="9"/>
  <c r="M15" i="9"/>
  <c r="N15" i="9"/>
  <c r="O16" i="9"/>
  <c r="O15" i="9"/>
  <c r="I44" i="9" l="1"/>
  <c r="F21" i="9"/>
  <c r="M19" i="10" l="1"/>
  <c r="AT6" i="1"/>
  <c r="AS6" i="1"/>
  <c r="AM10" i="1"/>
  <c r="AM24" i="1"/>
  <c r="AM23" i="1"/>
  <c r="AQ20" i="1"/>
  <c r="AK23" i="1"/>
  <c r="AQ38" i="1"/>
  <c r="AN38" i="1"/>
  <c r="AN35" i="1"/>
  <c r="AM35" i="1"/>
  <c r="AH36" i="1"/>
  <c r="AN48" i="1"/>
  <c r="I24" i="10"/>
  <c r="C8" i="7"/>
  <c r="C7" i="7"/>
  <c r="H21" i="12" l="1"/>
  <c r="BN17" i="1"/>
  <c r="BM17" i="1"/>
  <c r="BL17" i="1"/>
  <c r="BK17" i="1"/>
  <c r="BN13" i="1"/>
  <c r="BM13" i="1"/>
  <c r="BL13" i="1"/>
  <c r="BK13" i="1"/>
  <c r="BG17" i="1"/>
  <c r="BF17" i="1"/>
  <c r="BH17" i="1"/>
  <c r="BE17" i="1"/>
  <c r="BH13" i="1"/>
  <c r="BG13" i="1"/>
  <c r="BE13" i="1"/>
  <c r="BF13" i="1"/>
  <c r="BA17" i="1"/>
  <c r="AZ17" i="1"/>
  <c r="BB17" i="1"/>
  <c r="AY17" i="1"/>
  <c r="AY13" i="1"/>
  <c r="BB13" i="1"/>
  <c r="BA13" i="1"/>
  <c r="AZ13" i="1"/>
  <c r="AV17" i="1"/>
  <c r="AU17" i="1"/>
  <c r="AT17" i="1"/>
  <c r="AS17" i="1"/>
  <c r="AV13" i="1"/>
  <c r="AU13" i="1"/>
  <c r="AT13" i="1"/>
  <c r="AS13" i="1"/>
  <c r="BN10" i="1"/>
  <c r="BM10" i="1"/>
  <c r="BL10" i="1"/>
  <c r="BN6" i="1"/>
  <c r="BM6" i="1"/>
  <c r="BH10" i="1"/>
  <c r="BG10" i="1"/>
  <c r="BF10" i="1"/>
  <c r="BH6" i="1"/>
  <c r="BG6" i="1"/>
  <c r="BF6" i="1"/>
  <c r="BL6" i="1" s="1"/>
  <c r="BB10" i="1"/>
  <c r="BA10" i="1"/>
  <c r="AZ10" i="1"/>
  <c r="BB6" i="1"/>
  <c r="AZ6" i="1"/>
  <c r="AY6" i="1"/>
  <c r="BE6" i="1" s="1"/>
  <c r="BK6" i="1" s="1"/>
  <c r="BA6" i="1"/>
  <c r="AV6" i="1"/>
  <c r="AU6" i="1"/>
  <c r="AW17" i="1"/>
  <c r="AM17" i="1"/>
  <c r="AV10" i="1"/>
  <c r="AU10" i="1"/>
  <c r="AT10" i="1"/>
  <c r="AS10" i="1"/>
  <c r="AY10" i="1" s="1"/>
  <c r="BE10" i="1" s="1"/>
  <c r="BK10" i="1" s="1"/>
  <c r="AO10" i="1" l="1"/>
  <c r="AN10" i="1"/>
  <c r="AQ6" i="1"/>
  <c r="AS5" i="1"/>
  <c r="AG6" i="1"/>
  <c r="AE7" i="1"/>
  <c r="H84" i="12"/>
  <c r="D42" i="9"/>
  <c r="J20" i="9"/>
  <c r="H34" i="9"/>
  <c r="H35" i="9"/>
  <c r="H26" i="9"/>
  <c r="H28" i="9"/>
  <c r="H29" i="9"/>
  <c r="H20" i="9"/>
  <c r="F84" i="12" s="1"/>
  <c r="H21" i="9"/>
  <c r="G84" i="12" s="1"/>
  <c r="H16" i="9"/>
  <c r="H17" i="9"/>
  <c r="I20" i="9"/>
  <c r="M13" i="9" s="1"/>
  <c r="I17" i="9"/>
  <c r="I35" i="9"/>
  <c r="I34" i="9"/>
  <c r="I33" i="9"/>
  <c r="I32" i="9"/>
  <c r="I29" i="9"/>
  <c r="I28" i="9"/>
  <c r="I26" i="9"/>
  <c r="I16" i="9"/>
  <c r="H58" i="9"/>
  <c r="H32" i="9" s="1"/>
  <c r="H44" i="9"/>
  <c r="H47" i="9" s="1"/>
  <c r="H22" i="9" s="1"/>
  <c r="I58" i="9"/>
  <c r="I27" i="9" s="1"/>
  <c r="I47" i="9"/>
  <c r="I21" i="9" s="1"/>
  <c r="O35" i="9"/>
  <c r="O36" i="9"/>
  <c r="AE140" i="1"/>
  <c r="D139" i="1"/>
  <c r="AQ140" i="1"/>
  <c r="F10" i="10"/>
  <c r="H23" i="9" l="1"/>
  <c r="I23" i="9"/>
  <c r="F85" i="12"/>
  <c r="G85" i="12"/>
  <c r="H27" i="9"/>
  <c r="H33" i="9"/>
  <c r="H14" i="9"/>
  <c r="D84" i="12" s="1"/>
  <c r="H24" i="9"/>
  <c r="I14" i="9"/>
  <c r="D85" i="12" s="1"/>
  <c r="I24" i="9"/>
  <c r="I22" i="9"/>
  <c r="H85" i="12" l="1"/>
  <c r="E10" i="10"/>
  <c r="M25" i="10"/>
  <c r="P4" i="7"/>
  <c r="BN50" i="1"/>
  <c r="BM50" i="1"/>
  <c r="BL50" i="1"/>
  <c r="BK50" i="1"/>
  <c r="BN52" i="1"/>
  <c r="BM52" i="1"/>
  <c r="BL52" i="1"/>
  <c r="BK52" i="1"/>
  <c r="BE50" i="1"/>
  <c r="BE52" i="1"/>
  <c r="AY52" i="1"/>
  <c r="BF52" i="1"/>
  <c r="BG52" i="1"/>
  <c r="BH52" i="1"/>
  <c r="BG50" i="1"/>
  <c r="BF50" i="1"/>
  <c r="BH50" i="1"/>
  <c r="BB50" i="1"/>
  <c r="BA50" i="1"/>
  <c r="AZ50" i="1"/>
  <c r="AY50" i="1"/>
  <c r="BB52" i="1"/>
  <c r="BA52" i="1"/>
  <c r="AZ52" i="1"/>
  <c r="AM50" i="1"/>
  <c r="AP52" i="1"/>
  <c r="AQ52" i="1" s="1"/>
  <c r="AN52" i="1"/>
  <c r="AO52" i="1"/>
  <c r="AM52" i="1"/>
  <c r="AI52" i="1"/>
  <c r="BO56" i="1"/>
  <c r="BI56" i="1"/>
  <c r="BC56" i="1"/>
  <c r="AW56" i="1"/>
  <c r="AQ56" i="1"/>
  <c r="H77" i="12"/>
  <c r="H76" i="12"/>
  <c r="C17" i="13"/>
  <c r="AV154" i="1"/>
  <c r="BB154" i="1" s="1"/>
  <c r="BH154" i="1" s="1"/>
  <c r="BN154" i="1" s="1"/>
  <c r="AU154" i="1"/>
  <c r="BA154" i="1" s="1"/>
  <c r="BG154" i="1" s="1"/>
  <c r="BM154" i="1" s="1"/>
  <c r="AT154" i="1"/>
  <c r="AZ154" i="1" s="1"/>
  <c r="BF154" i="1" s="1"/>
  <c r="BL154" i="1" s="1"/>
  <c r="AS154" i="1"/>
  <c r="AY154" i="1" s="1"/>
  <c r="BE154" i="1" s="1"/>
  <c r="BK154" i="1" s="1"/>
  <c r="BN49" i="1"/>
  <c r="BM49" i="1"/>
  <c r="BL49" i="1"/>
  <c r="BK49" i="1"/>
  <c r="BO49" i="1" s="1"/>
  <c r="BH49" i="1"/>
  <c r="BG49" i="1"/>
  <c r="BF49" i="1"/>
  <c r="BE49" i="1"/>
  <c r="BI49" i="1" s="1"/>
  <c r="BB49" i="1"/>
  <c r="BA49" i="1"/>
  <c r="AZ49" i="1"/>
  <c r="AY49" i="1"/>
  <c r="BC49" i="1" s="1"/>
  <c r="AW49" i="1"/>
  <c r="AQ48" i="1"/>
  <c r="AW48" i="1" s="1"/>
  <c r="BC48" i="1" s="1"/>
  <c r="BI48" i="1" s="1"/>
  <c r="BO48" i="1" s="1"/>
  <c r="AQ49" i="1"/>
  <c r="AV49" i="1"/>
  <c r="AU49" i="1"/>
  <c r="AT49" i="1"/>
  <c r="AS49" i="1"/>
  <c r="AP49" i="1"/>
  <c r="AO49" i="1"/>
  <c r="AN49" i="1"/>
  <c r="AM49" i="1"/>
  <c r="BN48" i="1"/>
  <c r="BM48" i="1"/>
  <c r="BL48" i="1"/>
  <c r="BK48" i="1"/>
  <c r="BH48" i="1"/>
  <c r="BG48" i="1"/>
  <c r="BF48" i="1"/>
  <c r="BE48" i="1"/>
  <c r="BB48" i="1"/>
  <c r="BA48" i="1"/>
  <c r="AZ48" i="1"/>
  <c r="AY48" i="1"/>
  <c r="AV48" i="1"/>
  <c r="AU48" i="1"/>
  <c r="AT48" i="1"/>
  <c r="AS48" i="1"/>
  <c r="AP48" i="1"/>
  <c r="AO48" i="1"/>
  <c r="AM48" i="1"/>
  <c r="F36" i="1"/>
  <c r="G36" i="1"/>
  <c r="AP15" i="1"/>
  <c r="AC9" i="1"/>
  <c r="AM12" i="1"/>
  <c r="AM15" i="1" s="1"/>
  <c r="AK49" i="1"/>
  <c r="AJ49" i="1"/>
  <c r="AI49" i="1"/>
  <c r="AH49" i="1"/>
  <c r="AG49" i="1"/>
  <c r="AK48" i="1"/>
  <c r="AJ48" i="1"/>
  <c r="AI48" i="1"/>
  <c r="AH48" i="1"/>
  <c r="AG48" i="1"/>
  <c r="AE49" i="1"/>
  <c r="AD49" i="1"/>
  <c r="AC49" i="1"/>
  <c r="AB49" i="1"/>
  <c r="AA49" i="1"/>
  <c r="AE48" i="1"/>
  <c r="AD48" i="1"/>
  <c r="AC48" i="1"/>
  <c r="AB48" i="1"/>
  <c r="AA48" i="1"/>
  <c r="Y49" i="1"/>
  <c r="X49" i="1"/>
  <c r="W49" i="1"/>
  <c r="V49" i="1"/>
  <c r="U49" i="1"/>
  <c r="Y48" i="1"/>
  <c r="X48" i="1"/>
  <c r="W48" i="1"/>
  <c r="V48" i="1"/>
  <c r="U48" i="1"/>
  <c r="S49" i="1"/>
  <c r="R49" i="1"/>
  <c r="Q49" i="1"/>
  <c r="P49" i="1"/>
  <c r="O49" i="1"/>
  <c r="S48" i="1"/>
  <c r="R48" i="1"/>
  <c r="Q48" i="1"/>
  <c r="P48" i="1"/>
  <c r="O48" i="1"/>
  <c r="M49" i="1"/>
  <c r="L49" i="1"/>
  <c r="K49" i="1"/>
  <c r="J49" i="1"/>
  <c r="I49" i="1"/>
  <c r="M48" i="1"/>
  <c r="L48" i="1"/>
  <c r="K48" i="1"/>
  <c r="J48" i="1"/>
  <c r="I48" i="1"/>
  <c r="D49" i="1"/>
  <c r="E49" i="1"/>
  <c r="F49" i="1"/>
  <c r="G49" i="1"/>
  <c r="C49" i="1"/>
  <c r="G48" i="1"/>
  <c r="D48" i="1"/>
  <c r="E48" i="1"/>
  <c r="F48" i="1"/>
  <c r="C48" i="1"/>
  <c r="C47" i="1"/>
  <c r="AK6" i="1"/>
  <c r="BC50" i="1" l="1"/>
  <c r="BI52" i="1"/>
  <c r="AW50" i="1"/>
  <c r="BI50" i="1"/>
  <c r="BO50" i="1"/>
  <c r="BO52" i="1" l="1"/>
  <c r="AQ50" i="1"/>
  <c r="BC52" i="1" l="1"/>
  <c r="AW52" i="1"/>
  <c r="E43" i="12"/>
  <c r="E41" i="12"/>
  <c r="D43" i="12"/>
  <c r="D41" i="12"/>
  <c r="E42" i="12" l="1"/>
  <c r="D42" i="12"/>
  <c r="F86" i="12" l="1"/>
  <c r="H24" i="12" l="1"/>
  <c r="H20" i="12"/>
  <c r="H18" i="12"/>
  <c r="G127" i="1" l="1"/>
  <c r="M127" i="1"/>
  <c r="S127" i="1"/>
  <c r="Y127" i="1"/>
  <c r="AE127" i="1"/>
  <c r="AK127" i="1"/>
  <c r="D151" i="1" l="1"/>
  <c r="E151" i="1"/>
  <c r="G151" i="1"/>
  <c r="I151" i="1"/>
  <c r="J151" i="1"/>
  <c r="K151" i="1"/>
  <c r="M151" i="1"/>
  <c r="O151" i="1"/>
  <c r="P151" i="1"/>
  <c r="Q151" i="1"/>
  <c r="S151" i="1"/>
  <c r="U151" i="1"/>
  <c r="V151" i="1"/>
  <c r="W151" i="1"/>
  <c r="Y151" i="1"/>
  <c r="AA151" i="1"/>
  <c r="AB151" i="1"/>
  <c r="AC151" i="1"/>
  <c r="AE151" i="1"/>
  <c r="AG151" i="1"/>
  <c r="AH151" i="1"/>
  <c r="AI151" i="1"/>
  <c r="AK151" i="1"/>
  <c r="C151" i="1"/>
  <c r="D150" i="1"/>
  <c r="E150" i="1"/>
  <c r="G150" i="1"/>
  <c r="I150" i="1"/>
  <c r="J150" i="1"/>
  <c r="K150" i="1"/>
  <c r="M150" i="1"/>
  <c r="O150" i="1"/>
  <c r="P150" i="1"/>
  <c r="Q150" i="1"/>
  <c r="S150" i="1"/>
  <c r="U150" i="1"/>
  <c r="V150" i="1"/>
  <c r="W150" i="1"/>
  <c r="Y150" i="1"/>
  <c r="AA150" i="1"/>
  <c r="AB150" i="1"/>
  <c r="AC150" i="1"/>
  <c r="AE150" i="1"/>
  <c r="AG150" i="1"/>
  <c r="AH150" i="1"/>
  <c r="AI150" i="1"/>
  <c r="C150" i="1"/>
  <c r="D149" i="1"/>
  <c r="E149" i="1"/>
  <c r="G149" i="1"/>
  <c r="I149" i="1"/>
  <c r="J149" i="1"/>
  <c r="K149" i="1"/>
  <c r="M149" i="1"/>
  <c r="O149" i="1"/>
  <c r="P149" i="1"/>
  <c r="Q149" i="1"/>
  <c r="S149" i="1"/>
  <c r="U149" i="1"/>
  <c r="V149" i="1"/>
  <c r="W149" i="1"/>
  <c r="Y149" i="1"/>
  <c r="AA149" i="1"/>
  <c r="AB149" i="1"/>
  <c r="AC149" i="1"/>
  <c r="AE149" i="1"/>
  <c r="AG149" i="1"/>
  <c r="AH149" i="1"/>
  <c r="AI149" i="1"/>
  <c r="AK149" i="1"/>
  <c r="C149" i="1"/>
  <c r="E152" i="1" l="1"/>
  <c r="O152" i="1"/>
  <c r="M152" i="1"/>
  <c r="G152" i="1"/>
  <c r="AG152" i="1"/>
  <c r="AE152" i="1"/>
  <c r="AA152" i="1"/>
  <c r="Y152" i="1"/>
  <c r="U152" i="1"/>
  <c r="S152" i="1"/>
  <c r="K152" i="1"/>
  <c r="J152" i="1"/>
  <c r="I152" i="1"/>
  <c r="AC152" i="1"/>
  <c r="AI152" i="1"/>
  <c r="AH152" i="1"/>
  <c r="W152" i="1"/>
  <c r="P152" i="1"/>
  <c r="V152" i="1"/>
  <c r="C152" i="1"/>
  <c r="D152" i="1"/>
  <c r="Q152" i="1"/>
  <c r="AB152" i="1"/>
  <c r="F9" i="13" l="1"/>
  <c r="E9" i="13"/>
  <c r="D9" i="13"/>
  <c r="F17" i="9"/>
  <c r="G20" i="9"/>
  <c r="F83" i="12" s="1"/>
  <c r="J16" i="9"/>
  <c r="J58" i="9"/>
  <c r="J33" i="9" s="1"/>
  <c r="J44" i="9"/>
  <c r="J14" i="9" s="1"/>
  <c r="D86" i="12" s="1"/>
  <c r="J35" i="9"/>
  <c r="J34" i="9"/>
  <c r="J29" i="9"/>
  <c r="J28" i="9"/>
  <c r="J26" i="9"/>
  <c r="J17" i="9"/>
  <c r="J23" i="9" s="1"/>
  <c r="F20" i="9"/>
  <c r="D57" i="9"/>
  <c r="M20" i="9" l="1"/>
  <c r="N20" i="9"/>
  <c r="N13" i="9" s="1"/>
  <c r="O20" i="9"/>
  <c r="O13" i="9" s="1"/>
  <c r="F82" i="12"/>
  <c r="J32" i="9"/>
  <c r="J27" i="9"/>
  <c r="J47" i="9"/>
  <c r="J21" i="9" l="1"/>
  <c r="G86" i="12" s="1"/>
  <c r="J22" i="9"/>
  <c r="H86" i="12"/>
  <c r="J24" i="9"/>
  <c r="C21" i="13" l="1"/>
  <c r="S6" i="13" s="1"/>
  <c r="C16" i="13"/>
  <c r="G8" i="13"/>
  <c r="F8" i="13"/>
  <c r="E8" i="13"/>
  <c r="D8" i="13"/>
  <c r="G6" i="13"/>
  <c r="F6" i="13"/>
  <c r="E6" i="13"/>
  <c r="D6" i="13"/>
  <c r="I6" i="13" l="1"/>
  <c r="AC6" i="13"/>
  <c r="BK121" i="1" s="1"/>
  <c r="BK129" i="1" s="1"/>
  <c r="Z6" i="13"/>
  <c r="BG121" i="1" s="1"/>
  <c r="BG129" i="1" s="1"/>
  <c r="AF6" i="13"/>
  <c r="BN121" i="1" s="1"/>
  <c r="BN129" i="1" s="1"/>
  <c r="X6" i="13"/>
  <c r="BE121" i="1" s="1"/>
  <c r="BE129" i="1" s="1"/>
  <c r="AE6" i="13"/>
  <c r="BM121" i="1" s="1"/>
  <c r="BM129" i="1" s="1"/>
  <c r="AD6" i="13"/>
  <c r="BL121" i="1" s="1"/>
  <c r="BL129" i="1" s="1"/>
  <c r="AA6" i="13"/>
  <c r="BH121" i="1" s="1"/>
  <c r="BH129" i="1" s="1"/>
  <c r="Y6" i="13"/>
  <c r="BF121" i="1" s="1"/>
  <c r="BF129" i="1" s="1"/>
  <c r="AM121" i="1" l="1"/>
  <c r="AM129" i="1" s="1"/>
  <c r="C18" i="13"/>
  <c r="AM98" i="1" l="1"/>
  <c r="D7" i="13"/>
  <c r="N6" i="13"/>
  <c r="AS121" i="1" s="1"/>
  <c r="AS129" i="1" s="1"/>
  <c r="O6" i="13"/>
  <c r="AT121" i="1" s="1"/>
  <c r="AT129" i="1" s="1"/>
  <c r="P6" i="13"/>
  <c r="AU121" i="1" s="1"/>
  <c r="AU129" i="1" s="1"/>
  <c r="Q6" i="13"/>
  <c r="AV121" i="1" s="1"/>
  <c r="AV129" i="1" s="1"/>
  <c r="AY121" i="1"/>
  <c r="AY129" i="1" s="1"/>
  <c r="T6" i="13"/>
  <c r="AZ121" i="1" s="1"/>
  <c r="AZ129" i="1" s="1"/>
  <c r="U6" i="13"/>
  <c r="BA121" i="1" s="1"/>
  <c r="BA129" i="1" s="1"/>
  <c r="V6" i="13"/>
  <c r="BB121" i="1" s="1"/>
  <c r="BB129" i="1" s="1"/>
  <c r="E7" i="13"/>
  <c r="F7" i="13"/>
  <c r="G7" i="13"/>
  <c r="J6" i="13"/>
  <c r="AN121" i="1" s="1"/>
  <c r="AN129" i="1" s="1"/>
  <c r="AN98" i="1" l="1"/>
  <c r="K6" i="13"/>
  <c r="L6" i="13"/>
  <c r="AP121" i="1" s="1"/>
  <c r="AP129" i="1" s="1"/>
  <c r="C24" i="13" l="1"/>
  <c r="AO121" i="1"/>
  <c r="AO129" i="1" s="1"/>
  <c r="H31" i="12"/>
  <c r="E75" i="12"/>
  <c r="F75" i="12" s="1"/>
  <c r="G75" i="12" s="1"/>
  <c r="E70" i="12"/>
  <c r="F70" i="12" s="1"/>
  <c r="G70" i="12" s="1"/>
  <c r="H30" i="12"/>
  <c r="H29" i="12"/>
  <c r="H14" i="12"/>
  <c r="F30" i="1"/>
  <c r="F32" i="1"/>
  <c r="F33" i="1"/>
  <c r="F34" i="1"/>
  <c r="F35" i="1"/>
  <c r="F151" i="1" s="1"/>
  <c r="AO98" i="1" l="1"/>
  <c r="AP98" i="1" s="1"/>
  <c r="C56" i="1" l="1"/>
  <c r="M22" i="10"/>
  <c r="I21" i="10" s="1"/>
  <c r="I25" i="10"/>
  <c r="M26" i="10"/>
  <c r="D27" i="10" s="1"/>
  <c r="M21" i="10"/>
  <c r="M23" i="10" l="1"/>
  <c r="M27" i="10"/>
  <c r="H22" i="12" l="1"/>
  <c r="H23" i="12" s="1"/>
  <c r="M28" i="10"/>
  <c r="C139" i="1" l="1"/>
  <c r="G139" i="1"/>
  <c r="H9" i="10"/>
  <c r="G9" i="10"/>
  <c r="F9" i="10"/>
  <c r="E9" i="10"/>
  <c r="D9" i="10"/>
  <c r="C38" i="10"/>
  <c r="C39" i="10" s="1"/>
  <c r="C36" i="10"/>
  <c r="C35" i="10" s="1"/>
  <c r="G34" i="10"/>
  <c r="H34" i="10" s="1"/>
  <c r="E34" i="10"/>
  <c r="D34" i="10" s="1"/>
  <c r="J14" i="10"/>
  <c r="K14" i="10" s="1"/>
  <c r="L14" i="10" s="1"/>
  <c r="M14" i="10" s="1"/>
  <c r="D56" i="9"/>
  <c r="D46" i="9"/>
  <c r="G45" i="9"/>
  <c r="D43" i="9"/>
  <c r="D44" i="9" s="1"/>
  <c r="D14" i="9" s="1"/>
  <c r="D81" i="12" s="1"/>
  <c r="F34" i="9"/>
  <c r="O41" i="9"/>
  <c r="O40" i="9"/>
  <c r="O39" i="9"/>
  <c r="G58" i="9"/>
  <c r="G32" i="9" s="1"/>
  <c r="F58" i="9"/>
  <c r="F26" i="9"/>
  <c r="G44" i="9"/>
  <c r="G14" i="9" s="1"/>
  <c r="D83" i="12" s="1"/>
  <c r="F44" i="9"/>
  <c r="F47" i="9" s="1"/>
  <c r="G35" i="9"/>
  <c r="F35" i="9"/>
  <c r="G34" i="9"/>
  <c r="G29" i="9"/>
  <c r="F29" i="9"/>
  <c r="G28" i="9"/>
  <c r="F28" i="9"/>
  <c r="G26" i="9"/>
  <c r="G17" i="9"/>
  <c r="G16" i="9"/>
  <c r="F16" i="9"/>
  <c r="C17" i="7"/>
  <c r="N26" i="9" l="1"/>
  <c r="M26" i="9"/>
  <c r="O26" i="9"/>
  <c r="M28" i="9"/>
  <c r="O28" i="9"/>
  <c r="N28" i="9"/>
  <c r="N29" i="9"/>
  <c r="M29" i="9"/>
  <c r="O29" i="9"/>
  <c r="G23" i="9"/>
  <c r="F33" i="9"/>
  <c r="F32" i="9"/>
  <c r="F22" i="9"/>
  <c r="F23" i="9"/>
  <c r="D45" i="9"/>
  <c r="M29" i="10"/>
  <c r="I23" i="10" s="1"/>
  <c r="I20" i="10" s="1"/>
  <c r="F27" i="9"/>
  <c r="G27" i="9"/>
  <c r="G33" i="9"/>
  <c r="D16" i="9"/>
  <c r="G47" i="9"/>
  <c r="F14" i="9"/>
  <c r="D82" i="12" s="1"/>
  <c r="O27" i="9" l="1"/>
  <c r="M27" i="9"/>
  <c r="N27" i="9"/>
  <c r="H82" i="12"/>
  <c r="G82" i="12"/>
  <c r="G21" i="9"/>
  <c r="G83" i="12" s="1"/>
  <c r="G22" i="9"/>
  <c r="H83" i="12" s="1"/>
  <c r="D47" i="9"/>
  <c r="N21" i="9" l="1"/>
  <c r="N22" i="9"/>
  <c r="M22" i="9"/>
  <c r="O22" i="9"/>
  <c r="M21" i="9"/>
  <c r="O21" i="9"/>
  <c r="C10" i="7"/>
  <c r="C18" i="7"/>
  <c r="G32" i="7"/>
  <c r="F32" i="7"/>
  <c r="E32" i="7"/>
  <c r="D32" i="7"/>
  <c r="C32" i="7"/>
  <c r="K6" i="8"/>
  <c r="K3"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5" i="8"/>
  <c r="D31" i="7" l="1"/>
  <c r="E31" i="7"/>
  <c r="F31" i="7"/>
  <c r="G31" i="7"/>
  <c r="C31" i="7"/>
  <c r="C20" i="7" l="1"/>
  <c r="D20" i="7" s="1"/>
  <c r="E20" i="7" s="1"/>
  <c r="D10" i="7"/>
  <c r="E10" i="7" s="1"/>
  <c r="D8" i="7"/>
  <c r="E8" i="7" s="1"/>
  <c r="D18" i="7"/>
  <c r="E18" i="7" s="1"/>
  <c r="G143" i="1"/>
  <c r="AB97" i="1"/>
  <c r="AA97" i="1" s="1"/>
  <c r="Y97" i="1" s="1"/>
  <c r="AM143" i="1"/>
  <c r="AQ65" i="1"/>
  <c r="AQ66" i="1"/>
  <c r="AQ71" i="1"/>
  <c r="AQ78" i="1"/>
  <c r="AQ86" i="1"/>
  <c r="AQ95" i="1"/>
  <c r="BO95" i="1"/>
  <c r="BO86" i="1"/>
  <c r="BO78" i="1"/>
  <c r="BO71" i="1"/>
  <c r="BO66" i="1"/>
  <c r="BO65" i="1"/>
  <c r="BI95" i="1"/>
  <c r="BI86" i="1"/>
  <c r="BI78" i="1"/>
  <c r="BI71" i="1"/>
  <c r="BI66" i="1"/>
  <c r="BI65" i="1"/>
  <c r="BC95" i="1"/>
  <c r="BC86" i="1"/>
  <c r="BC78" i="1"/>
  <c r="BC71" i="1"/>
  <c r="BC66" i="1"/>
  <c r="BC65" i="1"/>
  <c r="AW95" i="1"/>
  <c r="AW86" i="1"/>
  <c r="AW78" i="1"/>
  <c r="AW71" i="1"/>
  <c r="AW66" i="1"/>
  <c r="AW65" i="1"/>
  <c r="AK121" i="1"/>
  <c r="AE121" i="1"/>
  <c r="Y121" i="1"/>
  <c r="S121" i="1"/>
  <c r="M121" i="1"/>
  <c r="G121" i="1"/>
  <c r="AK108" i="1"/>
  <c r="AE108" i="1"/>
  <c r="Y108" i="1"/>
  <c r="S108" i="1"/>
  <c r="M108" i="1"/>
  <c r="G108" i="1"/>
  <c r="G11" i="10"/>
  <c r="F11" i="10"/>
  <c r="E11" i="10"/>
  <c r="D11" i="10"/>
  <c r="AK143" i="1"/>
  <c r="H11" i="10" l="1"/>
  <c r="D17" i="7"/>
  <c r="E17" i="7" s="1"/>
  <c r="D7" i="7"/>
  <c r="E7" i="7" s="1"/>
  <c r="AM63" i="1"/>
  <c r="AN63" i="1" s="1"/>
  <c r="AO63" i="1" s="1"/>
  <c r="AP63" i="1" s="1"/>
  <c r="AQ63" i="1" s="1"/>
  <c r="AM99" i="1"/>
  <c r="AN99" i="1" s="1"/>
  <c r="AO99" i="1" s="1"/>
  <c r="AP99" i="1" s="1"/>
  <c r="AQ99" i="1" s="1"/>
  <c r="AQ98" i="1"/>
  <c r="AS98" i="1" s="1"/>
  <c r="AT98" i="1" s="1"/>
  <c r="AU98" i="1" s="1"/>
  <c r="AV98" i="1" s="1"/>
  <c r="AM96" i="1"/>
  <c r="AM91" i="1"/>
  <c r="AN91" i="1" s="1"/>
  <c r="AO91" i="1" s="1"/>
  <c r="AP91" i="1" s="1"/>
  <c r="AQ91" i="1" s="1"/>
  <c r="AM92" i="1"/>
  <c r="AN92" i="1" s="1"/>
  <c r="AO92" i="1" s="1"/>
  <c r="AP92" i="1" s="1"/>
  <c r="AQ92" i="1" s="1"/>
  <c r="AM90" i="1"/>
  <c r="AN90" i="1" s="1"/>
  <c r="AO90" i="1" s="1"/>
  <c r="AP90" i="1" s="1"/>
  <c r="AQ90" i="1" s="1"/>
  <c r="AM88" i="1"/>
  <c r="AN88" i="1" s="1"/>
  <c r="AO88" i="1" s="1"/>
  <c r="AP88" i="1" s="1"/>
  <c r="AQ88" i="1" s="1"/>
  <c r="AM87" i="1"/>
  <c r="AM82" i="1"/>
  <c r="AN82" i="1" s="1"/>
  <c r="AO82" i="1" s="1"/>
  <c r="AP82" i="1" s="1"/>
  <c r="AQ82" i="1" s="1"/>
  <c r="AM83" i="1"/>
  <c r="AN83" i="1" s="1"/>
  <c r="AO83" i="1" s="1"/>
  <c r="AP83" i="1" s="1"/>
  <c r="AQ83" i="1" s="1"/>
  <c r="AM84" i="1"/>
  <c r="AN84" i="1" s="1"/>
  <c r="AO84" i="1" s="1"/>
  <c r="AP84" i="1" s="1"/>
  <c r="AQ84" i="1" s="1"/>
  <c r="AM81" i="1"/>
  <c r="AN81" i="1" s="1"/>
  <c r="AO81" i="1" s="1"/>
  <c r="AP81" i="1" s="1"/>
  <c r="AQ81" i="1" s="1"/>
  <c r="AM73" i="1"/>
  <c r="AN73" i="1" s="1"/>
  <c r="AO73" i="1" s="1"/>
  <c r="AP73" i="1" s="1"/>
  <c r="AQ73" i="1" s="1"/>
  <c r="AM74" i="1"/>
  <c r="AN74" i="1" s="1"/>
  <c r="AO74" i="1" s="1"/>
  <c r="AP74" i="1" s="1"/>
  <c r="AQ74" i="1" s="1"/>
  <c r="AM75" i="1"/>
  <c r="AN75" i="1" s="1"/>
  <c r="AO75" i="1" s="1"/>
  <c r="AP75" i="1" s="1"/>
  <c r="AQ75" i="1" s="1"/>
  <c r="AM76" i="1"/>
  <c r="AN76" i="1" s="1"/>
  <c r="AO76" i="1" s="1"/>
  <c r="AP76" i="1" s="1"/>
  <c r="AQ76" i="1" s="1"/>
  <c r="AM72" i="1"/>
  <c r="AN72" i="1" s="1"/>
  <c r="AO72" i="1" s="1"/>
  <c r="AP72" i="1" s="1"/>
  <c r="AQ72" i="1" s="1"/>
  <c r="I143" i="1"/>
  <c r="J143" i="1"/>
  <c r="K143" i="1"/>
  <c r="L143" i="1"/>
  <c r="O143" i="1"/>
  <c r="P143" i="1"/>
  <c r="Q143" i="1"/>
  <c r="R143" i="1"/>
  <c r="U143" i="1"/>
  <c r="V143" i="1"/>
  <c r="W143" i="1"/>
  <c r="X143" i="1"/>
  <c r="AA143" i="1"/>
  <c r="AB143" i="1"/>
  <c r="AC143" i="1"/>
  <c r="AD143" i="1"/>
  <c r="AG143" i="1"/>
  <c r="AH143" i="1"/>
  <c r="AI143" i="1"/>
  <c r="AJ143" i="1"/>
  <c r="AN87" i="1" l="1"/>
  <c r="AN96" i="1"/>
  <c r="AO96" i="1" s="1"/>
  <c r="AP96" i="1" s="1"/>
  <c r="AQ96" i="1" s="1"/>
  <c r="AS75" i="1"/>
  <c r="AT75" i="1" s="1"/>
  <c r="AU75" i="1" s="1"/>
  <c r="AV75" i="1" s="1"/>
  <c r="AW75" i="1" s="1"/>
  <c r="AS73" i="1"/>
  <c r="AT73" i="1" s="1"/>
  <c r="AU73" i="1" s="1"/>
  <c r="AV73" i="1" s="1"/>
  <c r="AW73" i="1" s="1"/>
  <c r="AS63" i="1"/>
  <c r="AT63" i="1" s="1"/>
  <c r="AU63" i="1" s="1"/>
  <c r="AV63" i="1" s="1"/>
  <c r="AW63" i="1" s="1"/>
  <c r="AS72" i="1"/>
  <c r="AT72" i="1" s="1"/>
  <c r="AU72" i="1" s="1"/>
  <c r="AV72" i="1" s="1"/>
  <c r="AW72" i="1" s="1"/>
  <c r="AS74" i="1"/>
  <c r="AT74" i="1" s="1"/>
  <c r="AU74" i="1" s="1"/>
  <c r="AV74" i="1" s="1"/>
  <c r="AW74" i="1" s="1"/>
  <c r="AS84" i="1"/>
  <c r="AT84" i="1" s="1"/>
  <c r="AU84" i="1" s="1"/>
  <c r="AV84" i="1" s="1"/>
  <c r="AW84" i="1" s="1"/>
  <c r="AS82" i="1"/>
  <c r="AT82" i="1" s="1"/>
  <c r="AU82" i="1" s="1"/>
  <c r="AV82" i="1" s="1"/>
  <c r="AW82" i="1" s="1"/>
  <c r="AS90" i="1"/>
  <c r="AT90" i="1" s="1"/>
  <c r="AU90" i="1" s="1"/>
  <c r="AV90" i="1" s="1"/>
  <c r="AW90" i="1" s="1"/>
  <c r="AS92" i="1"/>
  <c r="AT92" i="1" s="1"/>
  <c r="AU92" i="1" s="1"/>
  <c r="AV92" i="1" s="1"/>
  <c r="AW92" i="1" s="1"/>
  <c r="AS76" i="1"/>
  <c r="AT76" i="1" s="1"/>
  <c r="AU76" i="1" s="1"/>
  <c r="AV76" i="1" s="1"/>
  <c r="AW76" i="1" s="1"/>
  <c r="AS83" i="1"/>
  <c r="AT83" i="1" s="1"/>
  <c r="AU83" i="1" s="1"/>
  <c r="AV83" i="1" s="1"/>
  <c r="AW83" i="1" s="1"/>
  <c r="AS91" i="1"/>
  <c r="AT91" i="1" s="1"/>
  <c r="AU91" i="1" s="1"/>
  <c r="AV91" i="1" s="1"/>
  <c r="AW91" i="1" s="1"/>
  <c r="AW98" i="1"/>
  <c r="AY98" i="1" s="1"/>
  <c r="AZ98" i="1" s="1"/>
  <c r="BA98" i="1" s="1"/>
  <c r="BB98" i="1" s="1"/>
  <c r="AS96" i="1"/>
  <c r="AT96" i="1" s="1"/>
  <c r="AU96" i="1" s="1"/>
  <c r="AV96" i="1" s="1"/>
  <c r="AW96" i="1" s="1"/>
  <c r="AS99" i="1"/>
  <c r="AT99" i="1" s="1"/>
  <c r="AU99" i="1" s="1"/>
  <c r="AV99" i="1" s="1"/>
  <c r="AW99" i="1" s="1"/>
  <c r="AS88" i="1"/>
  <c r="AT88" i="1" s="1"/>
  <c r="AU88" i="1" s="1"/>
  <c r="AV88" i="1" s="1"/>
  <c r="AW88" i="1" s="1"/>
  <c r="AS81" i="1"/>
  <c r="AT81" i="1" s="1"/>
  <c r="AU81" i="1" s="1"/>
  <c r="AV81" i="1" s="1"/>
  <c r="AW81" i="1" s="1"/>
  <c r="E139" i="1"/>
  <c r="I139" i="1"/>
  <c r="J139" i="1"/>
  <c r="K139" i="1"/>
  <c r="M139" i="1"/>
  <c r="M140" i="1" s="1"/>
  <c r="O139" i="1"/>
  <c r="P139" i="1"/>
  <c r="Q139" i="1"/>
  <c r="S139" i="1"/>
  <c r="U139" i="1"/>
  <c r="V139" i="1"/>
  <c r="W139" i="1"/>
  <c r="Y139" i="1"/>
  <c r="AA139" i="1"/>
  <c r="AB139" i="1"/>
  <c r="AC139" i="1"/>
  <c r="AE139" i="1"/>
  <c r="AG139" i="1"/>
  <c r="AH139" i="1"/>
  <c r="AI139" i="1"/>
  <c r="AK139" i="1"/>
  <c r="AM5" i="1"/>
  <c r="AM8" i="1" s="1"/>
  <c r="AK24" i="1"/>
  <c r="AK134" i="1" s="1"/>
  <c r="C24" i="1"/>
  <c r="C19" i="1"/>
  <c r="C9" i="1"/>
  <c r="C10" i="1" s="1"/>
  <c r="D16" i="1"/>
  <c r="D17" i="1" s="1"/>
  <c r="E16" i="1"/>
  <c r="E17" i="1" s="1"/>
  <c r="G16" i="1"/>
  <c r="G17" i="1" s="1"/>
  <c r="I16" i="1"/>
  <c r="I17" i="1" s="1"/>
  <c r="J16" i="1"/>
  <c r="J17" i="1" s="1"/>
  <c r="K16" i="1"/>
  <c r="K17" i="1" s="1"/>
  <c r="M16" i="1"/>
  <c r="M17" i="1" s="1"/>
  <c r="O16" i="1"/>
  <c r="O17" i="1" s="1"/>
  <c r="P16" i="1"/>
  <c r="P17" i="1" s="1"/>
  <c r="Q16" i="1"/>
  <c r="Q17" i="1" s="1"/>
  <c r="S16" i="1"/>
  <c r="S17" i="1" s="1"/>
  <c r="U16" i="1"/>
  <c r="U17" i="1" s="1"/>
  <c r="V16" i="1"/>
  <c r="V17" i="1" s="1"/>
  <c r="W16" i="1"/>
  <c r="W17" i="1" s="1"/>
  <c r="Y16" i="1"/>
  <c r="Y17" i="1" s="1"/>
  <c r="AA16" i="1"/>
  <c r="AA17" i="1" s="1"/>
  <c r="AB16" i="1"/>
  <c r="AB17" i="1" s="1"/>
  <c r="AC16" i="1"/>
  <c r="AC17" i="1" s="1"/>
  <c r="AE16" i="1"/>
  <c r="AE17" i="1" s="1"/>
  <c r="AG16" i="1"/>
  <c r="AG17" i="1" s="1"/>
  <c r="AH16" i="1"/>
  <c r="AH17" i="1" s="1"/>
  <c r="AI16" i="1"/>
  <c r="AI17" i="1" s="1"/>
  <c r="AK16" i="1"/>
  <c r="AK17" i="1" s="1"/>
  <c r="C16" i="1"/>
  <c r="C17" i="1" s="1"/>
  <c r="D9" i="1"/>
  <c r="D10" i="1" s="1"/>
  <c r="E9" i="1"/>
  <c r="E10" i="1" s="1"/>
  <c r="G9" i="1"/>
  <c r="G10" i="1" s="1"/>
  <c r="I9" i="1"/>
  <c r="I10" i="1" s="1"/>
  <c r="J9" i="1"/>
  <c r="J10" i="1" s="1"/>
  <c r="K9" i="1"/>
  <c r="K10" i="1" s="1"/>
  <c r="M9" i="1"/>
  <c r="M10" i="1" s="1"/>
  <c r="O9" i="1"/>
  <c r="O10" i="1" s="1"/>
  <c r="P9" i="1"/>
  <c r="P10" i="1" s="1"/>
  <c r="Q9" i="1"/>
  <c r="Q10" i="1" s="1"/>
  <c r="S9" i="1"/>
  <c r="S10" i="1" s="1"/>
  <c r="U9" i="1"/>
  <c r="U10" i="1" s="1"/>
  <c r="V9" i="1"/>
  <c r="V10" i="1" s="1"/>
  <c r="W9" i="1"/>
  <c r="W10" i="1" s="1"/>
  <c r="Y9" i="1"/>
  <c r="Y10" i="1" s="1"/>
  <c r="AA9" i="1"/>
  <c r="AA10" i="1" s="1"/>
  <c r="AB9" i="1"/>
  <c r="AB10" i="1" s="1"/>
  <c r="AC10" i="1"/>
  <c r="AE9" i="1"/>
  <c r="AE10" i="1" s="1"/>
  <c r="AG9" i="1"/>
  <c r="AG10" i="1" s="1"/>
  <c r="AH9" i="1"/>
  <c r="AH10" i="1" s="1"/>
  <c r="AI9" i="1"/>
  <c r="AI10" i="1" s="1"/>
  <c r="AK9" i="1"/>
  <c r="AK10" i="1" s="1"/>
  <c r="AO87" i="1" l="1"/>
  <c r="AK140" i="1"/>
  <c r="H10" i="10" s="1"/>
  <c r="S140" i="1"/>
  <c r="G10" i="10"/>
  <c r="Y140" i="1"/>
  <c r="AM19" i="1"/>
  <c r="C134" i="1"/>
  <c r="C133" i="1"/>
  <c r="AY96" i="1"/>
  <c r="AZ96" i="1" s="1"/>
  <c r="BA96" i="1" s="1"/>
  <c r="BB96" i="1" s="1"/>
  <c r="AY84" i="1"/>
  <c r="AZ84" i="1" s="1"/>
  <c r="BA84" i="1" s="1"/>
  <c r="BB84" i="1" s="1"/>
  <c r="AY74" i="1"/>
  <c r="AZ74" i="1" s="1"/>
  <c r="BA74" i="1" s="1"/>
  <c r="BB74" i="1" s="1"/>
  <c r="AY72" i="1"/>
  <c r="AZ72" i="1" s="1"/>
  <c r="BA72" i="1" s="1"/>
  <c r="BB72" i="1" s="1"/>
  <c r="AY90" i="1"/>
  <c r="AZ90" i="1" s="1"/>
  <c r="BA90" i="1" s="1"/>
  <c r="BB90" i="1" s="1"/>
  <c r="AY81" i="1"/>
  <c r="AZ81" i="1" s="1"/>
  <c r="BA81" i="1" s="1"/>
  <c r="BB81" i="1" s="1"/>
  <c r="AY73" i="1"/>
  <c r="AZ73" i="1" s="1"/>
  <c r="BA73" i="1" s="1"/>
  <c r="BB73" i="1" s="1"/>
  <c r="AY92" i="1"/>
  <c r="AZ92" i="1" s="1"/>
  <c r="BA92" i="1" s="1"/>
  <c r="BB92" i="1" s="1"/>
  <c r="AY83" i="1"/>
  <c r="AZ83" i="1" s="1"/>
  <c r="BA83" i="1" s="1"/>
  <c r="BB83" i="1" s="1"/>
  <c r="AY99" i="1"/>
  <c r="AZ99" i="1" s="1"/>
  <c r="BA99" i="1" s="1"/>
  <c r="BB99" i="1" s="1"/>
  <c r="AY88" i="1"/>
  <c r="AZ88" i="1" s="1"/>
  <c r="BA88" i="1" s="1"/>
  <c r="BB88" i="1" s="1"/>
  <c r="AY76" i="1"/>
  <c r="AZ76" i="1" s="1"/>
  <c r="BA76" i="1" s="1"/>
  <c r="BB76" i="1" s="1"/>
  <c r="AY82" i="1"/>
  <c r="AZ82" i="1" s="1"/>
  <c r="BA82" i="1" s="1"/>
  <c r="BB82" i="1" s="1"/>
  <c r="AY63" i="1"/>
  <c r="AZ63" i="1" s="1"/>
  <c r="BA63" i="1" s="1"/>
  <c r="BB63" i="1" s="1"/>
  <c r="AY75" i="1"/>
  <c r="AZ75" i="1" s="1"/>
  <c r="BA75" i="1" s="1"/>
  <c r="BB75" i="1" s="1"/>
  <c r="AY91" i="1"/>
  <c r="AZ91" i="1" s="1"/>
  <c r="BA91" i="1" s="1"/>
  <c r="BB91" i="1" s="1"/>
  <c r="AK133" i="1"/>
  <c r="AO17" i="1"/>
  <c r="AQ17" i="1"/>
  <c r="BC17" i="1" s="1"/>
  <c r="BI17" i="1" s="1"/>
  <c r="BO17" i="1" s="1"/>
  <c r="AQ10" i="1"/>
  <c r="AW10" i="1" s="1"/>
  <c r="BC10" i="1" s="1"/>
  <c r="BI10" i="1" s="1"/>
  <c r="BO10" i="1" s="1"/>
  <c r="AN17" i="1"/>
  <c r="D56" i="1"/>
  <c r="E56" i="1"/>
  <c r="G56" i="1"/>
  <c r="I56" i="1"/>
  <c r="J56" i="1"/>
  <c r="K56" i="1"/>
  <c r="M56" i="1"/>
  <c r="O56" i="1"/>
  <c r="P56" i="1"/>
  <c r="Q56" i="1"/>
  <c r="S56" i="1"/>
  <c r="U56" i="1"/>
  <c r="V56" i="1"/>
  <c r="W56" i="1"/>
  <c r="Y56" i="1"/>
  <c r="AA56" i="1"/>
  <c r="AB56" i="1"/>
  <c r="AC56" i="1"/>
  <c r="AE56" i="1"/>
  <c r="AG56" i="1"/>
  <c r="AH56" i="1"/>
  <c r="AI56" i="1"/>
  <c r="AK56" i="1"/>
  <c r="D19" i="1"/>
  <c r="D23" i="1" s="1"/>
  <c r="D132" i="1" s="1"/>
  <c r="E19" i="1"/>
  <c r="E23" i="1" s="1"/>
  <c r="E132" i="1" s="1"/>
  <c r="G19" i="1"/>
  <c r="G23" i="1" s="1"/>
  <c r="I19" i="1"/>
  <c r="J19" i="1"/>
  <c r="J23" i="1" s="1"/>
  <c r="J132" i="1" s="1"/>
  <c r="K19" i="1"/>
  <c r="K23" i="1" s="1"/>
  <c r="K132" i="1" s="1"/>
  <c r="M19" i="1"/>
  <c r="M23" i="1" s="1"/>
  <c r="C29" i="7" s="1"/>
  <c r="H4" i="7" s="1"/>
  <c r="O19" i="1"/>
  <c r="O23" i="1" s="1"/>
  <c r="O132" i="1" s="1"/>
  <c r="P19" i="1"/>
  <c r="P23" i="1" s="1"/>
  <c r="P132" i="1" s="1"/>
  <c r="Q19" i="1"/>
  <c r="Q23" i="1" s="1"/>
  <c r="Q132" i="1" s="1"/>
  <c r="S19" i="1"/>
  <c r="S23" i="1" s="1"/>
  <c r="D29" i="7" s="1"/>
  <c r="I4" i="7" s="1"/>
  <c r="U19" i="1"/>
  <c r="U23" i="1" s="1"/>
  <c r="U132" i="1" s="1"/>
  <c r="V19" i="1"/>
  <c r="V23" i="1" s="1"/>
  <c r="V132" i="1" s="1"/>
  <c r="W19" i="1"/>
  <c r="W23" i="1" s="1"/>
  <c r="W132" i="1" s="1"/>
  <c r="Y19" i="1"/>
  <c r="Y23" i="1" s="1"/>
  <c r="AA19" i="1"/>
  <c r="AA23" i="1" s="1"/>
  <c r="AA132" i="1" s="1"/>
  <c r="AB19" i="1"/>
  <c r="AB23" i="1" s="1"/>
  <c r="AB132" i="1" s="1"/>
  <c r="AC19" i="1"/>
  <c r="AE19" i="1"/>
  <c r="AE23" i="1" s="1"/>
  <c r="AG19" i="1"/>
  <c r="AG23" i="1" s="1"/>
  <c r="AG132" i="1" s="1"/>
  <c r="AH19" i="1"/>
  <c r="AI19" i="1"/>
  <c r="AK19" i="1"/>
  <c r="E53" i="12" s="1"/>
  <c r="C23" i="1"/>
  <c r="C132" i="1" s="1"/>
  <c r="AK13" i="1"/>
  <c r="AM28" i="1" l="1"/>
  <c r="AM27" i="1"/>
  <c r="AM25" i="1"/>
  <c r="AM30" i="1"/>
  <c r="AM32" i="1"/>
  <c r="F29" i="7"/>
  <c r="K4" i="7" s="1"/>
  <c r="D53" i="12"/>
  <c r="E54" i="12" s="1"/>
  <c r="E29" i="7"/>
  <c r="J4" i="7" s="1"/>
  <c r="E5" i="7" s="1"/>
  <c r="C53" i="12"/>
  <c r="G53" i="12"/>
  <c r="AP87" i="1"/>
  <c r="AK147" i="1"/>
  <c r="AM127" i="1" s="1"/>
  <c r="D51" i="9"/>
  <c r="G29" i="7"/>
  <c r="C4" i="7" s="1"/>
  <c r="AK137" i="1"/>
  <c r="BC75" i="1"/>
  <c r="BE75" i="1" s="1"/>
  <c r="BF75" i="1" s="1"/>
  <c r="BG75" i="1" s="1"/>
  <c r="BH75" i="1" s="1"/>
  <c r="BC88" i="1"/>
  <c r="BE88" i="1" s="1"/>
  <c r="BF88" i="1" s="1"/>
  <c r="BG88" i="1" s="1"/>
  <c r="BH88" i="1" s="1"/>
  <c r="BC63" i="1"/>
  <c r="BE63" i="1" s="1"/>
  <c r="BF63" i="1" s="1"/>
  <c r="BG63" i="1" s="1"/>
  <c r="BH63" i="1" s="1"/>
  <c r="BC82" i="1"/>
  <c r="BE82" i="1" s="1"/>
  <c r="BF82" i="1" s="1"/>
  <c r="BG82" i="1" s="1"/>
  <c r="BH82" i="1" s="1"/>
  <c r="BC76" i="1"/>
  <c r="BE76" i="1" s="1"/>
  <c r="BF76" i="1" s="1"/>
  <c r="BG76" i="1" s="1"/>
  <c r="BH76" i="1" s="1"/>
  <c r="BC73" i="1"/>
  <c r="BE73" i="1" s="1"/>
  <c r="BF73" i="1" s="1"/>
  <c r="BG73" i="1" s="1"/>
  <c r="BH73" i="1" s="1"/>
  <c r="BC72" i="1"/>
  <c r="BE72" i="1" s="1"/>
  <c r="BF72" i="1" s="1"/>
  <c r="BG72" i="1" s="1"/>
  <c r="BH72" i="1" s="1"/>
  <c r="BC74" i="1"/>
  <c r="BE74" i="1" s="1"/>
  <c r="BF74" i="1" s="1"/>
  <c r="BG74" i="1" s="1"/>
  <c r="BH74" i="1" s="1"/>
  <c r="BC92" i="1"/>
  <c r="BE92" i="1" s="1"/>
  <c r="BF92" i="1" s="1"/>
  <c r="BG92" i="1" s="1"/>
  <c r="BH92" i="1" s="1"/>
  <c r="BC96" i="1"/>
  <c r="BE96" i="1" s="1"/>
  <c r="BF96" i="1" s="1"/>
  <c r="BG96" i="1" s="1"/>
  <c r="BH96" i="1" s="1"/>
  <c r="BC99" i="1"/>
  <c r="BE99" i="1" s="1"/>
  <c r="BF99" i="1" s="1"/>
  <c r="BG99" i="1" s="1"/>
  <c r="BH99" i="1" s="1"/>
  <c r="BC98" i="1"/>
  <c r="BE98" i="1" s="1"/>
  <c r="BF98" i="1" s="1"/>
  <c r="BG98" i="1" s="1"/>
  <c r="BH98" i="1" s="1"/>
  <c r="BC83" i="1"/>
  <c r="BE83" i="1" s="1"/>
  <c r="BF83" i="1" s="1"/>
  <c r="BG83" i="1" s="1"/>
  <c r="BH83" i="1" s="1"/>
  <c r="BC81" i="1"/>
  <c r="BE81" i="1" s="1"/>
  <c r="BF81" i="1" s="1"/>
  <c r="BG81" i="1" s="1"/>
  <c r="BH81" i="1" s="1"/>
  <c r="BC90" i="1"/>
  <c r="BE90" i="1" s="1"/>
  <c r="BF90" i="1" s="1"/>
  <c r="BG90" i="1" s="1"/>
  <c r="BH90" i="1" s="1"/>
  <c r="BC84" i="1"/>
  <c r="BE84" i="1" s="1"/>
  <c r="BF84" i="1" s="1"/>
  <c r="BG84" i="1" s="1"/>
  <c r="BH84" i="1" s="1"/>
  <c r="BC91" i="1"/>
  <c r="BE91" i="1" s="1"/>
  <c r="BF91" i="1" s="1"/>
  <c r="BG91" i="1" s="1"/>
  <c r="BH91" i="1" s="1"/>
  <c r="AG137" i="1"/>
  <c r="AG147" i="1"/>
  <c r="AA137" i="1"/>
  <c r="AA147" i="1"/>
  <c r="J137" i="1"/>
  <c r="J147" i="1"/>
  <c r="G137" i="1"/>
  <c r="G147" i="1"/>
  <c r="U137" i="1"/>
  <c r="U147" i="1"/>
  <c r="D137" i="1"/>
  <c r="D147" i="1"/>
  <c r="AE137" i="1"/>
  <c r="AE147" i="1"/>
  <c r="C137" i="1"/>
  <c r="C147" i="1"/>
  <c r="E137" i="1"/>
  <c r="E147" i="1"/>
  <c r="Y137" i="1"/>
  <c r="Y147" i="1"/>
  <c r="W137" i="1"/>
  <c r="W147" i="1"/>
  <c r="V137" i="1"/>
  <c r="V147" i="1"/>
  <c r="M137" i="1"/>
  <c r="M147" i="1"/>
  <c r="AB137" i="1"/>
  <c r="AB147" i="1"/>
  <c r="S137" i="1"/>
  <c r="S147" i="1"/>
  <c r="Q137" i="1"/>
  <c r="Q147" i="1"/>
  <c r="P137" i="1"/>
  <c r="P147" i="1"/>
  <c r="O137" i="1"/>
  <c r="O147" i="1"/>
  <c r="K137" i="1"/>
  <c r="K147" i="1"/>
  <c r="J7" i="1"/>
  <c r="V50" i="1"/>
  <c r="S54" i="1"/>
  <c r="S132" i="1"/>
  <c r="K7" i="1"/>
  <c r="AK7" i="1"/>
  <c r="AK132" i="1"/>
  <c r="E14" i="1"/>
  <c r="D14" i="1"/>
  <c r="AG50" i="1"/>
  <c r="AE50" i="1"/>
  <c r="AE132" i="1"/>
  <c r="C14" i="1"/>
  <c r="C135" i="1"/>
  <c r="G50" i="1"/>
  <c r="G132" i="1"/>
  <c r="AB50" i="1"/>
  <c r="AA50" i="1"/>
  <c r="Y14" i="1"/>
  <c r="Y132" i="1"/>
  <c r="W50" i="1"/>
  <c r="U7" i="1"/>
  <c r="Q53" i="1"/>
  <c r="P55" i="1"/>
  <c r="O55" i="1"/>
  <c r="M14" i="1"/>
  <c r="M132" i="1"/>
  <c r="AM9" i="1"/>
  <c r="AM16" i="1"/>
  <c r="P53" i="1"/>
  <c r="E53" i="1"/>
  <c r="W54" i="1"/>
  <c r="V54" i="1"/>
  <c r="Q54" i="1"/>
  <c r="P54" i="1"/>
  <c r="D53" i="1"/>
  <c r="O54" i="1"/>
  <c r="AM56" i="1"/>
  <c r="D55" i="1"/>
  <c r="C54" i="1"/>
  <c r="AN56" i="1"/>
  <c r="AA55" i="1"/>
  <c r="AA53" i="1"/>
  <c r="Y53" i="1"/>
  <c r="W53" i="1"/>
  <c r="S55" i="1"/>
  <c r="U53" i="1"/>
  <c r="Q55" i="1"/>
  <c r="Y55" i="1"/>
  <c r="W55" i="1"/>
  <c r="U55" i="1"/>
  <c r="V53" i="1"/>
  <c r="S53" i="1"/>
  <c r="AK54" i="1"/>
  <c r="AO56" i="1"/>
  <c r="AB55" i="1"/>
  <c r="AB53" i="1"/>
  <c r="V55" i="1"/>
  <c r="E55" i="1"/>
  <c r="AG54" i="1"/>
  <c r="G54" i="1"/>
  <c r="E54" i="1"/>
  <c r="AB54" i="1"/>
  <c r="C53" i="1"/>
  <c r="O53" i="1"/>
  <c r="AA54" i="1"/>
  <c r="C55" i="1"/>
  <c r="AK53" i="1"/>
  <c r="M53" i="1"/>
  <c r="Y54" i="1"/>
  <c r="AK55" i="1"/>
  <c r="M55" i="1"/>
  <c r="K54" i="1"/>
  <c r="AE54" i="1"/>
  <c r="D54" i="1"/>
  <c r="K55" i="1"/>
  <c r="J53" i="1"/>
  <c r="J55" i="1"/>
  <c r="AG53" i="1"/>
  <c r="U54" i="1"/>
  <c r="AG55" i="1"/>
  <c r="K53" i="1"/>
  <c r="AE53" i="1"/>
  <c r="G53" i="1"/>
  <c r="AE55" i="1"/>
  <c r="G55" i="1"/>
  <c r="M54" i="1"/>
  <c r="J54" i="1"/>
  <c r="AB51" i="1"/>
  <c r="AA51" i="1"/>
  <c r="Y51" i="1"/>
  <c r="W51" i="1"/>
  <c r="V51" i="1"/>
  <c r="AK52" i="1"/>
  <c r="AE52" i="1"/>
  <c r="Y52" i="1"/>
  <c r="AG51" i="1"/>
  <c r="AG52" i="1"/>
  <c r="AE51" i="1"/>
  <c r="E52" i="1"/>
  <c r="D52" i="1"/>
  <c r="U51" i="1"/>
  <c r="K51" i="1"/>
  <c r="G51" i="1"/>
  <c r="J51" i="1"/>
  <c r="M50" i="1"/>
  <c r="E51" i="1"/>
  <c r="D51" i="1"/>
  <c r="Q7" i="1"/>
  <c r="Q51" i="1"/>
  <c r="P14" i="1"/>
  <c r="P50" i="1"/>
  <c r="P51" i="1"/>
  <c r="Q52" i="1"/>
  <c r="O14" i="1"/>
  <c r="O50" i="1"/>
  <c r="O51" i="1"/>
  <c r="O52" i="1"/>
  <c r="P52" i="1"/>
  <c r="S7" i="1"/>
  <c r="S52" i="1"/>
  <c r="S51" i="1"/>
  <c r="G52" i="1"/>
  <c r="M52" i="1"/>
  <c r="K52" i="1"/>
  <c r="J52" i="1"/>
  <c r="AB52" i="1"/>
  <c r="AA52" i="1"/>
  <c r="C51" i="1"/>
  <c r="W52" i="1"/>
  <c r="Y50" i="1"/>
  <c r="V52" i="1"/>
  <c r="C52" i="1"/>
  <c r="U52" i="1"/>
  <c r="AK51" i="1"/>
  <c r="M51" i="1"/>
  <c r="C50" i="1"/>
  <c r="AK50" i="1"/>
  <c r="U50" i="1"/>
  <c r="S50" i="1"/>
  <c r="Q50" i="1"/>
  <c r="K50" i="1"/>
  <c r="J50" i="1"/>
  <c r="E50" i="1"/>
  <c r="D50" i="1"/>
  <c r="AC20" i="1"/>
  <c r="O7" i="1"/>
  <c r="M7" i="1"/>
  <c r="Y7" i="1"/>
  <c r="P7" i="1"/>
  <c r="U14" i="1"/>
  <c r="I20" i="1"/>
  <c r="AI20" i="1"/>
  <c r="S14" i="1"/>
  <c r="AH20" i="1"/>
  <c r="J14" i="1"/>
  <c r="AE14" i="1"/>
  <c r="AG14" i="1"/>
  <c r="AG7" i="1"/>
  <c r="W7" i="1"/>
  <c r="W14" i="1"/>
  <c r="G14" i="1"/>
  <c r="G7" i="1"/>
  <c r="AB14" i="1"/>
  <c r="AB7" i="1"/>
  <c r="V7" i="1"/>
  <c r="V14" i="1"/>
  <c r="AA7" i="1"/>
  <c r="AA14" i="1"/>
  <c r="AG20" i="1"/>
  <c r="AE20" i="1"/>
  <c r="AB20" i="1"/>
  <c r="AC23" i="1"/>
  <c r="U20" i="1"/>
  <c r="AI23" i="1"/>
  <c r="AH23" i="1"/>
  <c r="AA20" i="1"/>
  <c r="Q14" i="1"/>
  <c r="Y20" i="1"/>
  <c r="C54" i="12" s="1"/>
  <c r="C7" i="1"/>
  <c r="AK14" i="1"/>
  <c r="K14" i="1"/>
  <c r="E7" i="1"/>
  <c r="D7" i="1"/>
  <c r="K20" i="1"/>
  <c r="I23" i="1"/>
  <c r="J20" i="1"/>
  <c r="W20" i="1"/>
  <c r="V20" i="1"/>
  <c r="S20" i="1"/>
  <c r="Q20" i="1"/>
  <c r="P20" i="1"/>
  <c r="O20" i="1"/>
  <c r="M20" i="1"/>
  <c r="AK20" i="1"/>
  <c r="D5" i="7" l="1"/>
  <c r="C5" i="7"/>
  <c r="C6" i="7" s="1"/>
  <c r="D4" i="7"/>
  <c r="D21" i="9"/>
  <c r="G81" i="12" s="1"/>
  <c r="D54" i="12"/>
  <c r="AQ87" i="1"/>
  <c r="AS87" i="1" s="1"/>
  <c r="L4" i="7"/>
  <c r="H65" i="12" s="1"/>
  <c r="AQ147" i="1"/>
  <c r="AP147" i="1"/>
  <c r="BO147" i="1"/>
  <c r="AU147" i="1"/>
  <c r="BF147" i="1"/>
  <c r="AS147" i="1"/>
  <c r="BH147" i="1"/>
  <c r="AO147" i="1"/>
  <c r="AT147" i="1"/>
  <c r="AV147" i="1"/>
  <c r="AW147" i="1"/>
  <c r="AY147" i="1"/>
  <c r="AZ147" i="1"/>
  <c r="BA147" i="1"/>
  <c r="BB147" i="1"/>
  <c r="BC147" i="1"/>
  <c r="BE147" i="1"/>
  <c r="BG147" i="1"/>
  <c r="BI147" i="1"/>
  <c r="BK147" i="1"/>
  <c r="BL147" i="1"/>
  <c r="BM147" i="1"/>
  <c r="BN147" i="1"/>
  <c r="AM144" i="1"/>
  <c r="AC147" i="1"/>
  <c r="AC132" i="1"/>
  <c r="AI147" i="1"/>
  <c r="AI132" i="1"/>
  <c r="I147" i="1"/>
  <c r="I132" i="1"/>
  <c r="AM132" i="1" s="1"/>
  <c r="AM64" i="1" s="1"/>
  <c r="AH147" i="1"/>
  <c r="AH132" i="1"/>
  <c r="AN132" i="1" s="1"/>
  <c r="BI84" i="1"/>
  <c r="BK84" i="1" s="1"/>
  <c r="BL84" i="1" s="1"/>
  <c r="BM84" i="1" s="1"/>
  <c r="BN84" i="1" s="1"/>
  <c r="BO84" i="1" s="1"/>
  <c r="BI83" i="1"/>
  <c r="BK83" i="1" s="1"/>
  <c r="BL83" i="1" s="1"/>
  <c r="BM83" i="1" s="1"/>
  <c r="BN83" i="1" s="1"/>
  <c r="BO83" i="1" s="1"/>
  <c r="BI98" i="1"/>
  <c r="BI99" i="1"/>
  <c r="BK99" i="1" s="1"/>
  <c r="BL99" i="1" s="1"/>
  <c r="BM99" i="1" s="1"/>
  <c r="BN99" i="1" s="1"/>
  <c r="BO99" i="1" s="1"/>
  <c r="BI96" i="1"/>
  <c r="BK96" i="1" s="1"/>
  <c r="BL96" i="1" s="1"/>
  <c r="BM96" i="1" s="1"/>
  <c r="BN96" i="1" s="1"/>
  <c r="BO96" i="1" s="1"/>
  <c r="BI92" i="1"/>
  <c r="BK92" i="1" s="1"/>
  <c r="BL92" i="1" s="1"/>
  <c r="BM92" i="1" s="1"/>
  <c r="BN92" i="1" s="1"/>
  <c r="BO92" i="1" s="1"/>
  <c r="BI91" i="1"/>
  <c r="BK91" i="1" s="1"/>
  <c r="BL91" i="1" s="1"/>
  <c r="BM91" i="1" s="1"/>
  <c r="BN91" i="1" s="1"/>
  <c r="BO91" i="1" s="1"/>
  <c r="BI81" i="1"/>
  <c r="BK81" i="1" s="1"/>
  <c r="BL81" i="1" s="1"/>
  <c r="BM81" i="1" s="1"/>
  <c r="BN81" i="1" s="1"/>
  <c r="BO81" i="1" s="1"/>
  <c r="BI72" i="1"/>
  <c r="BK72" i="1" s="1"/>
  <c r="BL72" i="1" s="1"/>
  <c r="BM72" i="1" s="1"/>
  <c r="BN72" i="1" s="1"/>
  <c r="BO72" i="1" s="1"/>
  <c r="BI76" i="1"/>
  <c r="BK76" i="1" s="1"/>
  <c r="BL76" i="1" s="1"/>
  <c r="BM76" i="1" s="1"/>
  <c r="BN76" i="1" s="1"/>
  <c r="BO76" i="1" s="1"/>
  <c r="BI82" i="1"/>
  <c r="BK82" i="1" s="1"/>
  <c r="BL82" i="1" s="1"/>
  <c r="BM82" i="1" s="1"/>
  <c r="BN82" i="1" s="1"/>
  <c r="BO82" i="1" s="1"/>
  <c r="BI63" i="1"/>
  <c r="BK63" i="1" s="1"/>
  <c r="BL63" i="1" s="1"/>
  <c r="BM63" i="1" s="1"/>
  <c r="BN63" i="1" s="1"/>
  <c r="BO63" i="1" s="1"/>
  <c r="BI90" i="1"/>
  <c r="BK90" i="1" s="1"/>
  <c r="BL90" i="1" s="1"/>
  <c r="BM90" i="1" s="1"/>
  <c r="BN90" i="1" s="1"/>
  <c r="BO90" i="1" s="1"/>
  <c r="BI74" i="1"/>
  <c r="BK74" i="1" s="1"/>
  <c r="BL74" i="1" s="1"/>
  <c r="BM74" i="1" s="1"/>
  <c r="BN74" i="1" s="1"/>
  <c r="BO74" i="1" s="1"/>
  <c r="BI73" i="1"/>
  <c r="BK73" i="1" s="1"/>
  <c r="BL73" i="1" s="1"/>
  <c r="BM73" i="1" s="1"/>
  <c r="BN73" i="1" s="1"/>
  <c r="BO73" i="1" s="1"/>
  <c r="BI88" i="1"/>
  <c r="BK88" i="1" s="1"/>
  <c r="BL88" i="1" s="1"/>
  <c r="BM88" i="1" s="1"/>
  <c r="BN88" i="1" s="1"/>
  <c r="BO88" i="1" s="1"/>
  <c r="BI75" i="1"/>
  <c r="BK75" i="1" s="1"/>
  <c r="BL75" i="1" s="1"/>
  <c r="BM75" i="1" s="1"/>
  <c r="BN75" i="1" s="1"/>
  <c r="BO75" i="1" s="1"/>
  <c r="AQ137" i="1"/>
  <c r="AW137" i="1" s="1"/>
  <c r="BC137" i="1" s="1"/>
  <c r="BI137" i="1" s="1"/>
  <c r="BO137" i="1" s="1"/>
  <c r="AH137" i="1"/>
  <c r="AN137" i="1" s="1"/>
  <c r="AT137" i="1" s="1"/>
  <c r="AZ137" i="1" s="1"/>
  <c r="BF137" i="1" s="1"/>
  <c r="BL137" i="1" s="1"/>
  <c r="AI137" i="1"/>
  <c r="AK135" i="1"/>
  <c r="AC137" i="1"/>
  <c r="I137" i="1"/>
  <c r="AM137" i="1" s="1"/>
  <c r="AM68" i="1" s="1"/>
  <c r="AT56" i="1"/>
  <c r="AS56" i="1"/>
  <c r="AU56" i="1"/>
  <c r="AQ54" i="1"/>
  <c r="AW54" i="1" s="1"/>
  <c r="BC54" i="1" s="1"/>
  <c r="BI54" i="1" s="1"/>
  <c r="BO54" i="1" s="1"/>
  <c r="AI54" i="1"/>
  <c r="AI53" i="1"/>
  <c r="AI55" i="1"/>
  <c r="AC55" i="1"/>
  <c r="AC53" i="1"/>
  <c r="AC54" i="1"/>
  <c r="AQ55" i="1"/>
  <c r="AW55" i="1" s="1"/>
  <c r="BC55" i="1" s="1"/>
  <c r="BI55" i="1" s="1"/>
  <c r="BO55" i="1" s="1"/>
  <c r="AH55" i="1"/>
  <c r="AN55" i="1" s="1"/>
  <c r="AT55" i="1" s="1"/>
  <c r="AZ55" i="1" s="1"/>
  <c r="BF55" i="1" s="1"/>
  <c r="BL55" i="1" s="1"/>
  <c r="AH53" i="1"/>
  <c r="AN53" i="1" s="1"/>
  <c r="AT53" i="1" s="1"/>
  <c r="AZ53" i="1" s="1"/>
  <c r="BF53" i="1" s="1"/>
  <c r="BL53" i="1" s="1"/>
  <c r="AH54" i="1"/>
  <c r="AN54" i="1" s="1"/>
  <c r="AT54" i="1" s="1"/>
  <c r="AZ54" i="1" s="1"/>
  <c r="BF54" i="1" s="1"/>
  <c r="BL54" i="1" s="1"/>
  <c r="I54" i="1"/>
  <c r="AM54" i="1" s="1"/>
  <c r="AS54" i="1" s="1"/>
  <c r="AY54" i="1" s="1"/>
  <c r="BE54" i="1" s="1"/>
  <c r="BK54" i="1" s="1"/>
  <c r="I55" i="1"/>
  <c r="AM55" i="1" s="1"/>
  <c r="AS55" i="1" s="1"/>
  <c r="AY55" i="1" s="1"/>
  <c r="BE55" i="1" s="1"/>
  <c r="BK55" i="1" s="1"/>
  <c r="I53" i="1"/>
  <c r="AM53" i="1" s="1"/>
  <c r="AS53" i="1" s="1"/>
  <c r="AY53" i="1" s="1"/>
  <c r="BE53" i="1" s="1"/>
  <c r="BK53" i="1" s="1"/>
  <c r="AQ53" i="1"/>
  <c r="AW53" i="1" s="1"/>
  <c r="BC53" i="1" s="1"/>
  <c r="BI53" i="1" s="1"/>
  <c r="BO53" i="1" s="1"/>
  <c r="AQ51" i="1"/>
  <c r="AW51" i="1" s="1"/>
  <c r="BC51" i="1" s="1"/>
  <c r="BI51" i="1" s="1"/>
  <c r="BO51" i="1" s="1"/>
  <c r="AI50" i="1"/>
  <c r="AI51" i="1"/>
  <c r="AH50" i="1"/>
  <c r="AH52" i="1"/>
  <c r="AH51" i="1"/>
  <c r="AN51" i="1" s="1"/>
  <c r="AT51" i="1" s="1"/>
  <c r="AZ51" i="1" s="1"/>
  <c r="BF51" i="1" s="1"/>
  <c r="BL51" i="1" s="1"/>
  <c r="AC50" i="1"/>
  <c r="AC52" i="1"/>
  <c r="AC51" i="1"/>
  <c r="I50" i="1"/>
  <c r="I52" i="1"/>
  <c r="I51" i="1"/>
  <c r="AM51" i="1" s="1"/>
  <c r="AC7" i="1"/>
  <c r="AC14" i="1"/>
  <c r="I7" i="1"/>
  <c r="I14" i="1"/>
  <c r="AH7" i="1"/>
  <c r="AH14" i="1"/>
  <c r="AI7" i="1"/>
  <c r="AI14" i="1"/>
  <c r="AT87" i="1" l="1"/>
  <c r="AO132" i="1"/>
  <c r="AM122" i="1"/>
  <c r="AM123" i="1" s="1"/>
  <c r="BK98" i="1"/>
  <c r="BL98" i="1" s="1"/>
  <c r="BM98" i="1" s="1"/>
  <c r="BN98" i="1" s="1"/>
  <c r="BO98" i="1" s="1"/>
  <c r="C9" i="7"/>
  <c r="C11" i="7" s="1"/>
  <c r="H9" i="7" s="1"/>
  <c r="E4" i="7"/>
  <c r="AS51" i="1"/>
  <c r="AY51" i="1" s="1"/>
  <c r="BE51" i="1" s="1"/>
  <c r="BK51" i="1" s="1"/>
  <c r="AN147" i="1"/>
  <c r="AS137" i="1"/>
  <c r="AY137" i="1" s="1"/>
  <c r="BE137" i="1" s="1"/>
  <c r="BK137" i="1" s="1"/>
  <c r="AO137" i="1"/>
  <c r="AU137" i="1" s="1"/>
  <c r="BA137" i="1" s="1"/>
  <c r="BG137" i="1" s="1"/>
  <c r="BM137" i="1" s="1"/>
  <c r="BA56" i="1"/>
  <c r="AY56" i="1"/>
  <c r="AZ56" i="1"/>
  <c r="AO55" i="1"/>
  <c r="AU55" i="1" s="1"/>
  <c r="BA55" i="1" s="1"/>
  <c r="BG55" i="1" s="1"/>
  <c r="BM55" i="1" s="1"/>
  <c r="AO53" i="1"/>
  <c r="AU53" i="1" s="1"/>
  <c r="BA53" i="1" s="1"/>
  <c r="BG53" i="1" s="1"/>
  <c r="BM53" i="1" s="1"/>
  <c r="AO54" i="1"/>
  <c r="AU54" i="1" s="1"/>
  <c r="BA54" i="1" s="1"/>
  <c r="BG54" i="1" s="1"/>
  <c r="BM54" i="1" s="1"/>
  <c r="AO51" i="1"/>
  <c r="AU51" i="1" s="1"/>
  <c r="BA51" i="1" s="1"/>
  <c r="BG51" i="1" s="1"/>
  <c r="BM51" i="1" s="1"/>
  <c r="D6" i="7" l="1"/>
  <c r="D9" i="7" s="1"/>
  <c r="D11" i="7" s="1"/>
  <c r="I9" i="7" s="1"/>
  <c r="H66" i="12"/>
  <c r="AU87" i="1"/>
  <c r="E6" i="7"/>
  <c r="E9" i="7" s="1"/>
  <c r="E11" i="7" s="1"/>
  <c r="J9" i="7" s="1"/>
  <c r="BF56" i="1"/>
  <c r="BE56" i="1"/>
  <c r="BG56" i="1"/>
  <c r="C101" i="1"/>
  <c r="D101" i="1"/>
  <c r="E101" i="1"/>
  <c r="G101" i="1"/>
  <c r="I101" i="1"/>
  <c r="J101" i="1"/>
  <c r="K101" i="1"/>
  <c r="M101" i="1"/>
  <c r="O101" i="1"/>
  <c r="P101" i="1"/>
  <c r="Q101" i="1"/>
  <c r="S101" i="1"/>
  <c r="U101" i="1"/>
  <c r="V101" i="1"/>
  <c r="W101" i="1"/>
  <c r="Y101" i="1"/>
  <c r="AA101" i="1"/>
  <c r="AB101" i="1"/>
  <c r="AC101" i="1"/>
  <c r="AE101" i="1"/>
  <c r="AG101" i="1"/>
  <c r="AH101" i="1"/>
  <c r="AI101" i="1"/>
  <c r="AK101" i="1"/>
  <c r="D48" i="9" s="1"/>
  <c r="D85" i="1"/>
  <c r="D94" i="1" s="1"/>
  <c r="E85" i="1"/>
  <c r="E94" i="1" s="1"/>
  <c r="G85" i="1"/>
  <c r="G94" i="1" s="1"/>
  <c r="I85" i="1"/>
  <c r="I94" i="1" s="1"/>
  <c r="J85" i="1"/>
  <c r="J94" i="1" s="1"/>
  <c r="K85" i="1"/>
  <c r="K94" i="1" s="1"/>
  <c r="M85" i="1"/>
  <c r="M94" i="1" s="1"/>
  <c r="O85" i="1"/>
  <c r="O94" i="1" s="1"/>
  <c r="P85" i="1"/>
  <c r="P94" i="1" s="1"/>
  <c r="Q85" i="1"/>
  <c r="Q94" i="1" s="1"/>
  <c r="S85" i="1"/>
  <c r="S94" i="1" s="1"/>
  <c r="U85" i="1"/>
  <c r="U94" i="1" s="1"/>
  <c r="V85" i="1"/>
  <c r="V94" i="1" s="1"/>
  <c r="W85" i="1"/>
  <c r="W94" i="1" s="1"/>
  <c r="Y85" i="1"/>
  <c r="Y94" i="1" s="1"/>
  <c r="AA85" i="1"/>
  <c r="AA94" i="1" s="1"/>
  <c r="AB85" i="1"/>
  <c r="AB94" i="1" s="1"/>
  <c r="AC85" i="1"/>
  <c r="AC94" i="1" s="1"/>
  <c r="AE85" i="1"/>
  <c r="AE94" i="1" s="1"/>
  <c r="AG85" i="1"/>
  <c r="AG94" i="1" s="1"/>
  <c r="AH85" i="1"/>
  <c r="AH94" i="1" s="1"/>
  <c r="AI85" i="1"/>
  <c r="AI94" i="1" s="1"/>
  <c r="AK85" i="1"/>
  <c r="AK94" i="1" s="1"/>
  <c r="C85" i="1"/>
  <c r="C94" i="1" s="1"/>
  <c r="C69" i="1"/>
  <c r="C77" i="1" s="1"/>
  <c r="D69" i="1"/>
  <c r="D77" i="1" s="1"/>
  <c r="E69" i="1"/>
  <c r="E77" i="1" s="1"/>
  <c r="G69" i="1"/>
  <c r="G77" i="1" s="1"/>
  <c r="I69" i="1"/>
  <c r="I77" i="1" s="1"/>
  <c r="J69" i="1"/>
  <c r="J77" i="1" s="1"/>
  <c r="K69" i="1"/>
  <c r="K77" i="1" s="1"/>
  <c r="M69" i="1"/>
  <c r="M77" i="1" s="1"/>
  <c r="O69" i="1"/>
  <c r="O77" i="1" s="1"/>
  <c r="P69" i="1"/>
  <c r="P77" i="1" s="1"/>
  <c r="Q69" i="1"/>
  <c r="Q77" i="1" s="1"/>
  <c r="S69" i="1"/>
  <c r="S77" i="1" s="1"/>
  <c r="U69" i="1"/>
  <c r="U77" i="1" s="1"/>
  <c r="V69" i="1"/>
  <c r="V77" i="1" s="1"/>
  <c r="W69" i="1"/>
  <c r="W77" i="1" s="1"/>
  <c r="Y69" i="1"/>
  <c r="Y77" i="1" s="1"/>
  <c r="AA69" i="1"/>
  <c r="AA77" i="1" s="1"/>
  <c r="AB69" i="1"/>
  <c r="AB77" i="1" s="1"/>
  <c r="AC69" i="1"/>
  <c r="AC77" i="1" s="1"/>
  <c r="AE69" i="1"/>
  <c r="AE77" i="1" s="1"/>
  <c r="AG69" i="1"/>
  <c r="AG77" i="1" s="1"/>
  <c r="AH69" i="1"/>
  <c r="AH77" i="1" s="1"/>
  <c r="AI69" i="1"/>
  <c r="AI77" i="1" s="1"/>
  <c r="AM43" i="1"/>
  <c r="AN43" i="1" s="1"/>
  <c r="AO43" i="1" s="1"/>
  <c r="AP43" i="1" s="1"/>
  <c r="AQ43" i="1" s="1"/>
  <c r="AS43" i="1" s="1"/>
  <c r="AT43" i="1" s="1"/>
  <c r="AU43" i="1" s="1"/>
  <c r="AV43" i="1" s="1"/>
  <c r="AW43" i="1" s="1"/>
  <c r="AY43" i="1" s="1"/>
  <c r="AZ43" i="1" s="1"/>
  <c r="BA43" i="1" s="1"/>
  <c r="BB43" i="1" s="1"/>
  <c r="BC43" i="1" s="1"/>
  <c r="BE43" i="1" s="1"/>
  <c r="BF43" i="1" s="1"/>
  <c r="BG43" i="1" s="1"/>
  <c r="BH43" i="1" s="1"/>
  <c r="BI43" i="1" s="1"/>
  <c r="BK43" i="1" s="1"/>
  <c r="BL43" i="1" s="1"/>
  <c r="BM43" i="1" s="1"/>
  <c r="BN43" i="1" s="1"/>
  <c r="BO43" i="1" s="1"/>
  <c r="AV87" i="1" l="1"/>
  <c r="D17" i="9"/>
  <c r="D23" i="9" s="1"/>
  <c r="D34" i="9"/>
  <c r="D35" i="9"/>
  <c r="Y102" i="1"/>
  <c r="Y103" i="1" s="1"/>
  <c r="G102" i="1"/>
  <c r="G103" i="1" s="1"/>
  <c r="AI102" i="1"/>
  <c r="AI103" i="1" s="1"/>
  <c r="E102" i="1"/>
  <c r="E103" i="1" s="1"/>
  <c r="AK102" i="1"/>
  <c r="D102" i="1"/>
  <c r="D103" i="1" s="1"/>
  <c r="AA102" i="1"/>
  <c r="AA103" i="1" s="1"/>
  <c r="AH102" i="1"/>
  <c r="AH103" i="1" s="1"/>
  <c r="BM56" i="1"/>
  <c r="BK56" i="1"/>
  <c r="BL56" i="1"/>
  <c r="M102" i="1"/>
  <c r="M103" i="1" s="1"/>
  <c r="K102" i="1"/>
  <c r="K103" i="1" s="1"/>
  <c r="C102" i="1"/>
  <c r="C103" i="1" s="1"/>
  <c r="AG102" i="1"/>
  <c r="AG103" i="1" s="1"/>
  <c r="AE102" i="1"/>
  <c r="AE103" i="1" s="1"/>
  <c r="AC102" i="1"/>
  <c r="AC103" i="1" s="1"/>
  <c r="AB102" i="1"/>
  <c r="AB103" i="1" s="1"/>
  <c r="Q102" i="1"/>
  <c r="Q103" i="1" s="1"/>
  <c r="J102" i="1"/>
  <c r="J103" i="1" s="1"/>
  <c r="U102" i="1"/>
  <c r="U103" i="1" s="1"/>
  <c r="W102" i="1"/>
  <c r="W103" i="1" s="1"/>
  <c r="V102" i="1"/>
  <c r="V103" i="1" s="1"/>
  <c r="S102" i="1"/>
  <c r="S103" i="1" s="1"/>
  <c r="P102" i="1"/>
  <c r="P103" i="1" s="1"/>
  <c r="O102" i="1"/>
  <c r="O103" i="1" s="1"/>
  <c r="I102" i="1"/>
  <c r="I103" i="1" s="1"/>
  <c r="R44" i="1"/>
  <c r="R43" i="1"/>
  <c r="AD44" i="1"/>
  <c r="L43" i="1"/>
  <c r="X43" i="1"/>
  <c r="K24" i="1"/>
  <c r="D24" i="1"/>
  <c r="E24" i="1"/>
  <c r="G24" i="1"/>
  <c r="I24" i="1"/>
  <c r="J24" i="1"/>
  <c r="M24" i="1"/>
  <c r="O24" i="1"/>
  <c r="P24" i="1"/>
  <c r="Q24" i="1"/>
  <c r="S24" i="1"/>
  <c r="U24" i="1"/>
  <c r="V24" i="1"/>
  <c r="W24" i="1"/>
  <c r="Y24" i="1"/>
  <c r="AA24" i="1"/>
  <c r="AB24" i="1"/>
  <c r="AC24" i="1"/>
  <c r="AE24" i="1"/>
  <c r="AG24" i="1"/>
  <c r="AH24" i="1"/>
  <c r="AI24" i="1"/>
  <c r="AK47" i="1"/>
  <c r="J13" i="1"/>
  <c r="K13" i="1"/>
  <c r="M13" i="1"/>
  <c r="O13" i="1"/>
  <c r="P13" i="1"/>
  <c r="Q13" i="1"/>
  <c r="S13" i="1"/>
  <c r="U13" i="1"/>
  <c r="V13" i="1"/>
  <c r="W13" i="1"/>
  <c r="Y13" i="1"/>
  <c r="AA13" i="1"/>
  <c r="AB13" i="1"/>
  <c r="AC13" i="1"/>
  <c r="AE13" i="1"/>
  <c r="AG13" i="1"/>
  <c r="AH13" i="1"/>
  <c r="AI13" i="1"/>
  <c r="I13" i="1"/>
  <c r="AW87" i="1" l="1"/>
  <c r="AY87" i="1" s="1"/>
  <c r="AI134" i="1"/>
  <c r="AI133" i="1"/>
  <c r="W134" i="1"/>
  <c r="W133" i="1"/>
  <c r="K133" i="1"/>
  <c r="K134" i="1"/>
  <c r="P134" i="1"/>
  <c r="P133" i="1"/>
  <c r="AH134" i="1"/>
  <c r="AN134" i="1" s="1"/>
  <c r="AH133" i="1"/>
  <c r="AG134" i="1"/>
  <c r="AM134" i="1" s="1"/>
  <c r="AM80" i="1" s="1"/>
  <c r="AG133" i="1"/>
  <c r="AC134" i="1"/>
  <c r="AC133" i="1"/>
  <c r="AB134" i="1"/>
  <c r="AB133" i="1"/>
  <c r="AA134" i="1"/>
  <c r="AA133" i="1"/>
  <c r="V134" i="1"/>
  <c r="V133" i="1"/>
  <c r="U134" i="1"/>
  <c r="U133" i="1"/>
  <c r="Q133" i="1"/>
  <c r="Q134" i="1"/>
  <c r="I133" i="1"/>
  <c r="I134" i="1"/>
  <c r="D133" i="1"/>
  <c r="D134" i="1"/>
  <c r="E133" i="1"/>
  <c r="E134" i="1"/>
  <c r="O133" i="1"/>
  <c r="O134" i="1"/>
  <c r="J133" i="1"/>
  <c r="J134" i="1"/>
  <c r="D47" i="1"/>
  <c r="AC47" i="1"/>
  <c r="V47" i="1"/>
  <c r="AG47" i="1"/>
  <c r="AA47" i="1"/>
  <c r="W47" i="1"/>
  <c r="S47" i="1"/>
  <c r="S133" i="1"/>
  <c r="S134" i="1"/>
  <c r="P47" i="1"/>
  <c r="J47" i="1"/>
  <c r="I47" i="1"/>
  <c r="AI47" i="1"/>
  <c r="K47" i="1"/>
  <c r="AB47" i="1"/>
  <c r="Y47" i="1"/>
  <c r="Y133" i="1"/>
  <c r="Y134" i="1"/>
  <c r="U47" i="1"/>
  <c r="Q47" i="1"/>
  <c r="O47" i="1"/>
  <c r="G47" i="1"/>
  <c r="G134" i="1"/>
  <c r="G133" i="1"/>
  <c r="AH47" i="1"/>
  <c r="AE47" i="1"/>
  <c r="AE134" i="1"/>
  <c r="AE133" i="1"/>
  <c r="M47" i="1"/>
  <c r="M133" i="1"/>
  <c r="M134" i="1"/>
  <c r="E47" i="1"/>
  <c r="J6" i="1"/>
  <c r="K6" i="1"/>
  <c r="M6" i="1"/>
  <c r="O6" i="1"/>
  <c r="P6" i="1"/>
  <c r="Q6" i="1"/>
  <c r="S6" i="1"/>
  <c r="U6" i="1"/>
  <c r="V6" i="1"/>
  <c r="W6" i="1"/>
  <c r="Y6" i="1"/>
  <c r="AA6" i="1"/>
  <c r="AB6" i="1"/>
  <c r="AC6" i="1"/>
  <c r="AE6" i="1"/>
  <c r="AH6" i="1"/>
  <c r="AI6" i="1"/>
  <c r="I6" i="1"/>
  <c r="E135" i="1" l="1"/>
  <c r="AZ87" i="1"/>
  <c r="U135" i="1"/>
  <c r="AO134" i="1"/>
  <c r="O135" i="1"/>
  <c r="AN133" i="1"/>
  <c r="AM133" i="1"/>
  <c r="AM67" i="1" s="1"/>
  <c r="AO133" i="1"/>
  <c r="J135" i="1"/>
  <c r="AC135" i="1"/>
  <c r="I135" i="1"/>
  <c r="G135" i="1"/>
  <c r="AO47" i="1"/>
  <c r="AU47" i="1" s="1"/>
  <c r="BA47" i="1" s="1"/>
  <c r="BG47" i="1" s="1"/>
  <c r="BM47" i="1" s="1"/>
  <c r="AI135" i="1"/>
  <c r="AG135" i="1"/>
  <c r="S135" i="1"/>
  <c r="AB135" i="1"/>
  <c r="Q135" i="1"/>
  <c r="Y135" i="1"/>
  <c r="AN47" i="1"/>
  <c r="AT47" i="1" s="1"/>
  <c r="AZ47" i="1" s="1"/>
  <c r="BF47" i="1" s="1"/>
  <c r="BL47" i="1" s="1"/>
  <c r="AA135" i="1"/>
  <c r="V135" i="1"/>
  <c r="P135" i="1"/>
  <c r="M135" i="1"/>
  <c r="D135" i="1"/>
  <c r="AE135" i="1"/>
  <c r="AQ47" i="1"/>
  <c r="AW47" i="1" s="1"/>
  <c r="BC47" i="1" s="1"/>
  <c r="BI47" i="1" s="1"/>
  <c r="BO47" i="1" s="1"/>
  <c r="AH135" i="1"/>
  <c r="W135" i="1"/>
  <c r="K135" i="1"/>
  <c r="AN12" i="1"/>
  <c r="AN15" i="1" s="1"/>
  <c r="AO12" i="1"/>
  <c r="AO15" i="1" s="1"/>
  <c r="AM47" i="1"/>
  <c r="AS47" i="1" s="1"/>
  <c r="AY47" i="1" s="1"/>
  <c r="BE47" i="1" s="1"/>
  <c r="BK47" i="1" s="1"/>
  <c r="D25" i="1"/>
  <c r="E25" i="1"/>
  <c r="G25" i="1"/>
  <c r="I25" i="1"/>
  <c r="J25" i="1"/>
  <c r="K25" i="1"/>
  <c r="M25" i="1"/>
  <c r="O25" i="1"/>
  <c r="P25" i="1"/>
  <c r="Q25" i="1"/>
  <c r="S25" i="1"/>
  <c r="U25" i="1"/>
  <c r="V25" i="1"/>
  <c r="W25" i="1"/>
  <c r="Y25" i="1"/>
  <c r="AA25" i="1"/>
  <c r="AB25" i="1"/>
  <c r="AC25" i="1"/>
  <c r="AE25" i="1"/>
  <c r="AG25" i="1"/>
  <c r="AH25" i="1"/>
  <c r="AI25" i="1"/>
  <c r="AK25" i="1"/>
  <c r="F37" i="1"/>
  <c r="L37" i="1"/>
  <c r="R37" i="1"/>
  <c r="X37" i="1"/>
  <c r="AD37" i="1"/>
  <c r="AJ37" i="1"/>
  <c r="AQ15" i="1" l="1"/>
  <c r="BA87" i="1"/>
  <c r="D52" i="9"/>
  <c r="D26" i="9" s="1"/>
  <c r="AO16" i="1"/>
  <c r="AN16" i="1"/>
  <c r="I29" i="1"/>
  <c r="I31" i="1" s="1"/>
  <c r="I36" i="1" s="1"/>
  <c r="I26" i="1"/>
  <c r="E29" i="1"/>
  <c r="E31" i="1" s="1"/>
  <c r="E36" i="1" s="1"/>
  <c r="E26" i="1"/>
  <c r="Y29" i="1"/>
  <c r="Y26" i="1"/>
  <c r="C55" i="12" s="1"/>
  <c r="K29" i="1"/>
  <c r="K31" i="1" s="1"/>
  <c r="K36" i="1" s="1"/>
  <c r="K26" i="1"/>
  <c r="V29" i="1"/>
  <c r="V31" i="1" s="1"/>
  <c r="V36" i="1" s="1"/>
  <c r="V26" i="1"/>
  <c r="O29" i="1"/>
  <c r="O31" i="1" s="1"/>
  <c r="O36" i="1" s="1"/>
  <c r="O38" i="1" s="1"/>
  <c r="O26" i="1"/>
  <c r="J29" i="1"/>
  <c r="J31" i="1" s="1"/>
  <c r="J36" i="1" s="1"/>
  <c r="J26" i="1"/>
  <c r="AI29" i="1"/>
  <c r="AI31" i="1" s="1"/>
  <c r="AI36" i="1" s="1"/>
  <c r="AI26" i="1"/>
  <c r="AG29" i="1"/>
  <c r="AG31" i="1" s="1"/>
  <c r="AG36" i="1" s="1"/>
  <c r="AG26" i="1"/>
  <c r="W29" i="1"/>
  <c r="W31" i="1" s="1"/>
  <c r="W36" i="1" s="1"/>
  <c r="W26" i="1"/>
  <c r="M29" i="1"/>
  <c r="M154" i="1" s="1"/>
  <c r="M26" i="1"/>
  <c r="G29" i="1"/>
  <c r="G26" i="1"/>
  <c r="AB29" i="1"/>
  <c r="AB31" i="1" s="1"/>
  <c r="AB36" i="1" s="1"/>
  <c r="AB26" i="1"/>
  <c r="AA29" i="1"/>
  <c r="AA31" i="1" s="1"/>
  <c r="AA36" i="1" s="1"/>
  <c r="AA26" i="1"/>
  <c r="AK29" i="1"/>
  <c r="E58" i="12" s="1"/>
  <c r="AK26" i="1"/>
  <c r="E55" i="12" s="1"/>
  <c r="AH29" i="1"/>
  <c r="AH31" i="1" s="1"/>
  <c r="AH26" i="1"/>
  <c r="D29" i="1"/>
  <c r="D31" i="1" s="1"/>
  <c r="D36" i="1" s="1"/>
  <c r="D26" i="1"/>
  <c r="AE29" i="1"/>
  <c r="AE26" i="1"/>
  <c r="D55" i="12" s="1"/>
  <c r="AC29" i="1"/>
  <c r="AC31" i="1" s="1"/>
  <c r="AC36" i="1" s="1"/>
  <c r="AC26" i="1"/>
  <c r="U29" i="1"/>
  <c r="U31" i="1" s="1"/>
  <c r="U36" i="1" s="1"/>
  <c r="U26" i="1"/>
  <c r="S29" i="1"/>
  <c r="S154" i="1" s="1"/>
  <c r="S26" i="1"/>
  <c r="Q29" i="1"/>
  <c r="Q31" i="1" s="1"/>
  <c r="Q36" i="1" s="1"/>
  <c r="Q26" i="1"/>
  <c r="P29" i="1"/>
  <c r="P31" i="1" s="1"/>
  <c r="P36" i="1" s="1"/>
  <c r="P26" i="1"/>
  <c r="AN5" i="1"/>
  <c r="AN8" i="1" s="1"/>
  <c r="AU12" i="1"/>
  <c r="AU15" i="1" s="1"/>
  <c r="AS12" i="1"/>
  <c r="AT12" i="1"/>
  <c r="AT15" i="1" s="1"/>
  <c r="AO5" i="1"/>
  <c r="AO8" i="1" s="1"/>
  <c r="C25" i="1"/>
  <c r="C26" i="1" s="1"/>
  <c r="AS16" i="1" l="1"/>
  <c r="AS15" i="1"/>
  <c r="G58" i="12"/>
  <c r="AE154" i="1"/>
  <c r="D58" i="12"/>
  <c r="Y154" i="1"/>
  <c r="C58" i="12"/>
  <c r="C59" i="12" s="1"/>
  <c r="BB87" i="1"/>
  <c r="G31" i="1"/>
  <c r="G154" i="1"/>
  <c r="G30" i="7"/>
  <c r="AK154" i="1"/>
  <c r="Y31" i="1"/>
  <c r="C56" i="12" s="1"/>
  <c r="E30" i="7"/>
  <c r="J5" i="7" s="1"/>
  <c r="AE31" i="1"/>
  <c r="D56" i="12" s="1"/>
  <c r="F30" i="7"/>
  <c r="K5" i="7" s="1"/>
  <c r="AK31" i="1"/>
  <c r="O37" i="9"/>
  <c r="S31" i="1"/>
  <c r="D30" i="7"/>
  <c r="I5" i="7" s="1"/>
  <c r="M31" i="1"/>
  <c r="C30" i="7"/>
  <c r="H5" i="7" s="1"/>
  <c r="AU16" i="1"/>
  <c r="AT16" i="1"/>
  <c r="AO9" i="1"/>
  <c r="AO24" i="1" s="1"/>
  <c r="AN9" i="1"/>
  <c r="AN24" i="1" s="1"/>
  <c r="AG38" i="1"/>
  <c r="AG41" i="1" s="1"/>
  <c r="AG57" i="1"/>
  <c r="J38" i="1"/>
  <c r="J41" i="1" s="1"/>
  <c r="J57" i="1"/>
  <c r="AH38" i="1"/>
  <c r="AH41" i="1" s="1"/>
  <c r="AH57" i="1"/>
  <c r="AM57" i="1" s="1"/>
  <c r="D38" i="1"/>
  <c r="D42" i="1" s="1"/>
  <c r="D57" i="1"/>
  <c r="AI38" i="1"/>
  <c r="AI42" i="1" s="1"/>
  <c r="F73" i="12" s="1"/>
  <c r="F78" i="12" s="1"/>
  <c r="AI57" i="1"/>
  <c r="P38" i="1"/>
  <c r="P42" i="1" s="1"/>
  <c r="P57" i="1"/>
  <c r="O42" i="1"/>
  <c r="O57" i="1"/>
  <c r="AA38" i="1"/>
  <c r="AA41" i="1" s="1"/>
  <c r="AA57" i="1"/>
  <c r="I38" i="1"/>
  <c r="I41" i="1" s="1"/>
  <c r="I57" i="1"/>
  <c r="W38" i="1"/>
  <c r="W41" i="1" s="1"/>
  <c r="W57" i="1"/>
  <c r="AB38" i="1"/>
  <c r="AB42" i="1" s="1"/>
  <c r="AB57" i="1"/>
  <c r="K38" i="1"/>
  <c r="K57" i="1"/>
  <c r="AC38" i="1"/>
  <c r="AC41" i="1" s="1"/>
  <c r="AC57" i="1"/>
  <c r="U38" i="1"/>
  <c r="U42" i="1" s="1"/>
  <c r="U57" i="1"/>
  <c r="E38" i="1"/>
  <c r="E41" i="1" s="1"/>
  <c r="E57" i="1"/>
  <c r="V38" i="1"/>
  <c r="V42" i="1" s="1"/>
  <c r="V57" i="1"/>
  <c r="Q38" i="1"/>
  <c r="Q42" i="1" s="1"/>
  <c r="Q57" i="1"/>
  <c r="C29" i="1"/>
  <c r="C31" i="1" s="1"/>
  <c r="C36" i="1" s="1"/>
  <c r="AY12" i="1"/>
  <c r="AO19" i="1"/>
  <c r="AU5" i="1"/>
  <c r="AU8" i="1" s="1"/>
  <c r="AZ12" i="1"/>
  <c r="BA12" i="1"/>
  <c r="BA15" i="1" s="1"/>
  <c r="AS8" i="1"/>
  <c r="AN19" i="1"/>
  <c r="AT5" i="1"/>
  <c r="AT8" i="1" s="1"/>
  <c r="AJ100" i="1"/>
  <c r="AD100" i="1"/>
  <c r="X100" i="1"/>
  <c r="R100" i="1"/>
  <c r="L100" i="1"/>
  <c r="F100" i="1"/>
  <c r="AJ99" i="1"/>
  <c r="AD99" i="1"/>
  <c r="X99" i="1"/>
  <c r="R99" i="1"/>
  <c r="L99" i="1"/>
  <c r="F99" i="1"/>
  <c r="AJ98" i="1"/>
  <c r="AD98" i="1"/>
  <c r="X98" i="1"/>
  <c r="R98" i="1"/>
  <c r="L98" i="1"/>
  <c r="F98" i="1"/>
  <c r="AJ97" i="1"/>
  <c r="AD97" i="1"/>
  <c r="X97" i="1"/>
  <c r="R97" i="1"/>
  <c r="L97" i="1"/>
  <c r="F97" i="1"/>
  <c r="AJ96" i="1"/>
  <c r="AD96" i="1"/>
  <c r="X96" i="1"/>
  <c r="R96" i="1"/>
  <c r="L96" i="1"/>
  <c r="F96" i="1"/>
  <c r="AJ95" i="1"/>
  <c r="AJ93" i="1"/>
  <c r="AD93" i="1"/>
  <c r="X93" i="1"/>
  <c r="R93" i="1"/>
  <c r="L93" i="1"/>
  <c r="F93" i="1"/>
  <c r="AJ92" i="1"/>
  <c r="AD92" i="1"/>
  <c r="X92" i="1"/>
  <c r="AJ91" i="1"/>
  <c r="AD91" i="1"/>
  <c r="X91" i="1"/>
  <c r="R91" i="1"/>
  <c r="L91" i="1"/>
  <c r="F91" i="1"/>
  <c r="AJ90" i="1"/>
  <c r="AD90" i="1"/>
  <c r="X90" i="1"/>
  <c r="R90" i="1"/>
  <c r="AJ89" i="1"/>
  <c r="AD89" i="1"/>
  <c r="AD150" i="1" s="1"/>
  <c r="X89" i="1"/>
  <c r="X150" i="1" s="1"/>
  <c r="R89" i="1"/>
  <c r="R150" i="1" s="1"/>
  <c r="L89" i="1"/>
  <c r="L150" i="1" s="1"/>
  <c r="F89" i="1"/>
  <c r="AJ88" i="1"/>
  <c r="AD88" i="1"/>
  <c r="X88" i="1"/>
  <c r="R88" i="1"/>
  <c r="L88" i="1"/>
  <c r="F88" i="1"/>
  <c r="AJ87" i="1"/>
  <c r="AD87" i="1"/>
  <c r="X87" i="1"/>
  <c r="R87" i="1"/>
  <c r="L87" i="1"/>
  <c r="F87" i="1"/>
  <c r="AJ86" i="1"/>
  <c r="AJ84" i="1"/>
  <c r="AD84" i="1"/>
  <c r="X84" i="1"/>
  <c r="R84" i="1"/>
  <c r="AJ83" i="1"/>
  <c r="AD83" i="1"/>
  <c r="X83" i="1"/>
  <c r="R83" i="1"/>
  <c r="L83" i="1"/>
  <c r="F83" i="1"/>
  <c r="AJ82" i="1"/>
  <c r="AD82" i="1"/>
  <c r="X82" i="1"/>
  <c r="R82" i="1"/>
  <c r="L82" i="1"/>
  <c r="F82" i="1"/>
  <c r="AJ81" i="1"/>
  <c r="AD81" i="1"/>
  <c r="X81" i="1"/>
  <c r="R81" i="1"/>
  <c r="L81" i="1"/>
  <c r="F81" i="1"/>
  <c r="AJ80" i="1"/>
  <c r="AD80" i="1"/>
  <c r="X80" i="1"/>
  <c r="R80" i="1"/>
  <c r="L80" i="1"/>
  <c r="F80" i="1"/>
  <c r="AJ79" i="1"/>
  <c r="AJ149" i="1" s="1"/>
  <c r="AD79" i="1"/>
  <c r="AD149" i="1" s="1"/>
  <c r="X79" i="1"/>
  <c r="X149" i="1" s="1"/>
  <c r="R79" i="1"/>
  <c r="R149" i="1" s="1"/>
  <c r="L79" i="1"/>
  <c r="L149" i="1" s="1"/>
  <c r="F79" i="1"/>
  <c r="F149" i="1" s="1"/>
  <c r="AJ78" i="1"/>
  <c r="AJ76" i="1"/>
  <c r="AD76" i="1"/>
  <c r="X76" i="1"/>
  <c r="R76" i="1"/>
  <c r="L76" i="1"/>
  <c r="F76" i="1"/>
  <c r="AJ75" i="1"/>
  <c r="AD75" i="1"/>
  <c r="X75" i="1"/>
  <c r="R75" i="1"/>
  <c r="L75" i="1"/>
  <c r="F75" i="1"/>
  <c r="AJ74" i="1"/>
  <c r="AD74" i="1"/>
  <c r="X74" i="1"/>
  <c r="R74" i="1"/>
  <c r="L74" i="1"/>
  <c r="F74" i="1"/>
  <c r="AJ73" i="1"/>
  <c r="AD73" i="1"/>
  <c r="X73" i="1"/>
  <c r="R73" i="1"/>
  <c r="L73" i="1"/>
  <c r="F73" i="1"/>
  <c r="AJ72" i="1"/>
  <c r="AD72" i="1"/>
  <c r="X72" i="1"/>
  <c r="R72" i="1"/>
  <c r="AJ71" i="1"/>
  <c r="AJ70" i="1"/>
  <c r="AD70" i="1"/>
  <c r="AE143" i="1" s="1"/>
  <c r="X70" i="1"/>
  <c r="Y143" i="1" s="1"/>
  <c r="R70" i="1"/>
  <c r="S143" i="1" s="1"/>
  <c r="L70" i="1"/>
  <c r="M143" i="1" s="1"/>
  <c r="F70" i="1"/>
  <c r="AJ68" i="1"/>
  <c r="AD68" i="1"/>
  <c r="X68" i="1"/>
  <c r="R68" i="1"/>
  <c r="L68" i="1"/>
  <c r="F68" i="1"/>
  <c r="AJ67" i="1"/>
  <c r="AD67" i="1"/>
  <c r="X67" i="1"/>
  <c r="R67" i="1"/>
  <c r="L67" i="1"/>
  <c r="F67" i="1"/>
  <c r="AJ66" i="1"/>
  <c r="AD66" i="1"/>
  <c r="X66" i="1"/>
  <c r="R66" i="1"/>
  <c r="L66" i="1"/>
  <c r="F66" i="1"/>
  <c r="AJ65" i="1"/>
  <c r="AD65" i="1"/>
  <c r="X65" i="1"/>
  <c r="R65" i="1"/>
  <c r="L65" i="1"/>
  <c r="F65" i="1"/>
  <c r="AJ64" i="1"/>
  <c r="AD64" i="1"/>
  <c r="X64" i="1"/>
  <c r="R64" i="1"/>
  <c r="L64" i="1"/>
  <c r="F64" i="1"/>
  <c r="AJ63" i="1"/>
  <c r="AD63" i="1"/>
  <c r="X63" i="1"/>
  <c r="R63" i="1"/>
  <c r="L63" i="1"/>
  <c r="F63" i="1"/>
  <c r="AD62" i="1"/>
  <c r="X62" i="1"/>
  <c r="R62" i="1"/>
  <c r="L62" i="1"/>
  <c r="F62" i="1"/>
  <c r="AJ43" i="1"/>
  <c r="AJ12" i="1"/>
  <c r="AJ8" i="1"/>
  <c r="AJ15" i="1"/>
  <c r="AJ27" i="1"/>
  <c r="AJ28" i="1"/>
  <c r="AJ30" i="1"/>
  <c r="AJ32" i="1"/>
  <c r="AJ33" i="1"/>
  <c r="AJ34" i="1"/>
  <c r="AJ35" i="1"/>
  <c r="AJ151" i="1" s="1"/>
  <c r="AJ5" i="1"/>
  <c r="AD43" i="1"/>
  <c r="AD12" i="1"/>
  <c r="AD8" i="1"/>
  <c r="AD15" i="1"/>
  <c r="AD27" i="1"/>
  <c r="AD28" i="1"/>
  <c r="AD30" i="1"/>
  <c r="AD32" i="1"/>
  <c r="AD33" i="1"/>
  <c r="AD34" i="1"/>
  <c r="AD35" i="1"/>
  <c r="AD151" i="1" s="1"/>
  <c r="AD5" i="1"/>
  <c r="X33" i="1"/>
  <c r="X12" i="1"/>
  <c r="X8" i="1"/>
  <c r="X15" i="1"/>
  <c r="X27" i="1"/>
  <c r="X28" i="1"/>
  <c r="X30" i="1"/>
  <c r="X32" i="1"/>
  <c r="X34" i="1"/>
  <c r="X35" i="1"/>
  <c r="X151" i="1" s="1"/>
  <c r="X5" i="1"/>
  <c r="R5" i="1"/>
  <c r="C15" i="7" l="1"/>
  <c r="D15" i="7"/>
  <c r="E15" i="7"/>
  <c r="L5" i="7"/>
  <c r="C14" i="7"/>
  <c r="AS57" i="1"/>
  <c r="BL57" i="1"/>
  <c r="BG57" i="1"/>
  <c r="BE57" i="1"/>
  <c r="AV57" i="1"/>
  <c r="AU57" i="1"/>
  <c r="AZ57" i="1"/>
  <c r="AP57" i="1"/>
  <c r="AN57" i="1"/>
  <c r="BA57" i="1"/>
  <c r="AO57" i="1"/>
  <c r="AQ57" i="1" s="1"/>
  <c r="I7" i="10" s="1"/>
  <c r="J7" i="10" s="1"/>
  <c r="K7" i="10" s="1"/>
  <c r="L7" i="10" s="1"/>
  <c r="M7" i="10" s="1"/>
  <c r="BN57" i="1"/>
  <c r="BK57" i="1"/>
  <c r="BH57" i="1"/>
  <c r="BF57" i="1"/>
  <c r="BB57" i="1"/>
  <c r="AY57" i="1"/>
  <c r="BC57" i="1" s="1"/>
  <c r="AT57" i="1"/>
  <c r="AW57" i="1" s="1"/>
  <c r="BM57" i="1"/>
  <c r="AZ15" i="1"/>
  <c r="D57" i="12"/>
  <c r="AY16" i="1"/>
  <c r="AY15" i="1"/>
  <c r="D53" i="9"/>
  <c r="D58" i="9" s="1"/>
  <c r="D33" i="9" s="1"/>
  <c r="E56" i="12"/>
  <c r="E57" i="12" s="1"/>
  <c r="D59" i="12"/>
  <c r="C57" i="12"/>
  <c r="G56" i="12"/>
  <c r="E59" i="12"/>
  <c r="AJ150" i="1"/>
  <c r="AJ152" i="1" s="1"/>
  <c r="AK150" i="1"/>
  <c r="AK152" i="1" s="1"/>
  <c r="X152" i="1"/>
  <c r="BC87" i="1"/>
  <c r="BE87" i="1" s="1"/>
  <c r="F56" i="1"/>
  <c r="F150" i="1"/>
  <c r="F152" i="1" s="1"/>
  <c r="AD152" i="1"/>
  <c r="BI154" i="1"/>
  <c r="AQ154" i="1"/>
  <c r="BO154" i="1"/>
  <c r="BC154" i="1"/>
  <c r="AW154" i="1"/>
  <c r="M36" i="1"/>
  <c r="D6" i="10"/>
  <c r="S36" i="1"/>
  <c r="E6" i="10"/>
  <c r="AK36" i="1"/>
  <c r="H6" i="10"/>
  <c r="AE36" i="1"/>
  <c r="G6" i="10"/>
  <c r="Y36" i="1"/>
  <c r="F6" i="10"/>
  <c r="AN67" i="1"/>
  <c r="AN80" i="1"/>
  <c r="AO67" i="1"/>
  <c r="AO80" i="1"/>
  <c r="R139" i="1"/>
  <c r="F139" i="1"/>
  <c r="AJ139" i="1"/>
  <c r="X139" i="1"/>
  <c r="L139" i="1"/>
  <c r="AD139" i="1"/>
  <c r="AG42" i="1"/>
  <c r="D73" i="12" s="1"/>
  <c r="D78" i="12" s="1"/>
  <c r="AA42" i="1"/>
  <c r="V41" i="1"/>
  <c r="I42" i="1"/>
  <c r="AJ9" i="1"/>
  <c r="AJ10" i="1" s="1"/>
  <c r="BA16" i="1"/>
  <c r="AZ16" i="1"/>
  <c r="AU9" i="1"/>
  <c r="AU24" i="1" s="1"/>
  <c r="AT9" i="1"/>
  <c r="AT24" i="1" s="1"/>
  <c r="AS9" i="1"/>
  <c r="AS24" i="1" s="1"/>
  <c r="AJ16" i="1"/>
  <c r="AJ17" i="1" s="1"/>
  <c r="AD16" i="1"/>
  <c r="AD17" i="1" s="1"/>
  <c r="AD9" i="1"/>
  <c r="AD10" i="1" s="1"/>
  <c r="X16" i="1"/>
  <c r="X17" i="1" s="1"/>
  <c r="AB41" i="1"/>
  <c r="X9" i="1"/>
  <c r="X10" i="1" s="1"/>
  <c r="D41" i="1"/>
  <c r="AJ56" i="1"/>
  <c r="Q41" i="1"/>
  <c r="W42" i="1"/>
  <c r="AH42" i="1"/>
  <c r="E73" i="12" s="1"/>
  <c r="E78" i="12" s="1"/>
  <c r="AD56" i="1"/>
  <c r="J42" i="1"/>
  <c r="K42" i="1"/>
  <c r="K41" i="1"/>
  <c r="AC42" i="1"/>
  <c r="O41" i="1"/>
  <c r="C38" i="1"/>
  <c r="C57" i="1"/>
  <c r="E42" i="1"/>
  <c r="U41" i="1"/>
  <c r="AI41" i="1"/>
  <c r="P41" i="1"/>
  <c r="X56" i="1"/>
  <c r="AY5" i="1"/>
  <c r="AY8" i="1" s="1"/>
  <c r="AS19" i="1"/>
  <c r="BA5" i="1"/>
  <c r="BA8" i="1" s="1"/>
  <c r="AU19" i="1"/>
  <c r="AN23" i="1"/>
  <c r="AN20" i="1"/>
  <c r="BG12" i="1"/>
  <c r="BG15" i="1" s="1"/>
  <c r="BF12" i="1"/>
  <c r="BE12" i="1"/>
  <c r="AT19" i="1"/>
  <c r="AZ5" i="1"/>
  <c r="AZ8" i="1" s="1"/>
  <c r="AM20" i="1"/>
  <c r="AD19" i="1"/>
  <c r="AO23" i="1"/>
  <c r="AO20" i="1"/>
  <c r="X19" i="1"/>
  <c r="AJ19" i="1"/>
  <c r="F101" i="1"/>
  <c r="X101" i="1"/>
  <c r="AJ101" i="1"/>
  <c r="L101" i="1"/>
  <c r="R101" i="1"/>
  <c r="AD101" i="1"/>
  <c r="F85" i="1"/>
  <c r="F94" i="1" s="1"/>
  <c r="L85" i="1"/>
  <c r="L94" i="1" s="1"/>
  <c r="AJ85" i="1"/>
  <c r="AJ94" i="1" s="1"/>
  <c r="R85" i="1"/>
  <c r="R94" i="1" s="1"/>
  <c r="X85" i="1"/>
  <c r="X94" i="1" s="1"/>
  <c r="AD85" i="1"/>
  <c r="AD94" i="1" s="1"/>
  <c r="F69" i="1"/>
  <c r="F77" i="1" s="1"/>
  <c r="L69" i="1"/>
  <c r="L77" i="1" s="1"/>
  <c r="R69" i="1"/>
  <c r="R77" i="1" s="1"/>
  <c r="X69" i="1"/>
  <c r="X77" i="1" s="1"/>
  <c r="AD69" i="1"/>
  <c r="AD77" i="1" s="1"/>
  <c r="AD24" i="1"/>
  <c r="AD133" i="1" s="1"/>
  <c r="X24" i="1"/>
  <c r="X134" i="1" s="1"/>
  <c r="AJ24" i="1"/>
  <c r="AJ134" i="1" s="1"/>
  <c r="AD13" i="1"/>
  <c r="AD6" i="1"/>
  <c r="X6" i="1"/>
  <c r="AJ13" i="1"/>
  <c r="AJ6" i="1"/>
  <c r="R12" i="1"/>
  <c r="R8" i="1"/>
  <c r="R9" i="1" s="1"/>
  <c r="R10" i="1" s="1"/>
  <c r="R15" i="1"/>
  <c r="R27" i="1"/>
  <c r="R28" i="1"/>
  <c r="R30" i="1"/>
  <c r="R32" i="1"/>
  <c r="R33" i="1"/>
  <c r="R34" i="1"/>
  <c r="R35" i="1"/>
  <c r="L8" i="1"/>
  <c r="L44" i="1"/>
  <c r="L35" i="1"/>
  <c r="L15" i="1"/>
  <c r="L12" i="1"/>
  <c r="L27" i="1"/>
  <c r="L28" i="1"/>
  <c r="L30" i="1"/>
  <c r="L32" i="1"/>
  <c r="L33" i="1"/>
  <c r="L34" i="1"/>
  <c r="F44" i="1"/>
  <c r="F43" i="1"/>
  <c r="BI57" i="1" l="1"/>
  <c r="BO57" i="1"/>
  <c r="BF15" i="1"/>
  <c r="BF16" i="1"/>
  <c r="D22" i="9"/>
  <c r="H81" i="12" s="1"/>
  <c r="D32" i="9"/>
  <c r="BE16" i="1"/>
  <c r="BE15" i="1"/>
  <c r="G38" i="1"/>
  <c r="G57" i="1"/>
  <c r="H67" i="12"/>
  <c r="AO64" i="1"/>
  <c r="AO127" i="1"/>
  <c r="AO144" i="1" s="1"/>
  <c r="AO122" i="1" s="1"/>
  <c r="AO123" i="1" s="1"/>
  <c r="AN64" i="1"/>
  <c r="AN127" i="1"/>
  <c r="AN144" i="1" s="1"/>
  <c r="BF87" i="1"/>
  <c r="L56" i="1"/>
  <c r="L151" i="1"/>
  <c r="L152" i="1" s="1"/>
  <c r="R56" i="1"/>
  <c r="R151" i="1"/>
  <c r="R152" i="1" s="1"/>
  <c r="AM152" i="1" s="1"/>
  <c r="C16" i="7"/>
  <c r="H68" i="12"/>
  <c r="AK38" i="1"/>
  <c r="AK57" i="1"/>
  <c r="H7" i="10" s="1"/>
  <c r="I22" i="10" s="1"/>
  <c r="D14" i="7"/>
  <c r="AE38" i="1"/>
  <c r="D60" i="12" s="1"/>
  <c r="AE57" i="1"/>
  <c r="G7" i="10" s="1"/>
  <c r="G8" i="10" s="1"/>
  <c r="G12" i="10" s="1"/>
  <c r="D28" i="9"/>
  <c r="Y38" i="1"/>
  <c r="C60" i="12" s="1"/>
  <c r="Y57" i="1"/>
  <c r="F7" i="10" s="1"/>
  <c r="F8" i="10" s="1"/>
  <c r="F12" i="10" s="1"/>
  <c r="S38" i="1"/>
  <c r="S57" i="1"/>
  <c r="D7" i="10" s="1"/>
  <c r="M57" i="1"/>
  <c r="M38" i="1"/>
  <c r="X133" i="1"/>
  <c r="AJ133" i="1"/>
  <c r="AD134" i="1"/>
  <c r="L9" i="1"/>
  <c r="L10" i="1" s="1"/>
  <c r="AP10" i="1" s="1"/>
  <c r="AO25" i="1"/>
  <c r="AO68" i="1"/>
  <c r="AN25" i="1"/>
  <c r="AN68" i="1"/>
  <c r="BG16" i="1"/>
  <c r="BA9" i="1"/>
  <c r="BA24" i="1" s="1"/>
  <c r="AZ9" i="1"/>
  <c r="AZ24" i="1" s="1"/>
  <c r="AY9" i="1"/>
  <c r="AY24" i="1" s="1"/>
  <c r="L16" i="1"/>
  <c r="L17" i="1" s="1"/>
  <c r="F16" i="1"/>
  <c r="F17" i="1" s="1"/>
  <c r="R16" i="1"/>
  <c r="R17" i="1" s="1"/>
  <c r="F9" i="1"/>
  <c r="F10" i="1" s="1"/>
  <c r="AN32" i="1"/>
  <c r="AP56" i="1"/>
  <c r="L102" i="1"/>
  <c r="L103" i="1" s="1"/>
  <c r="AO32" i="1"/>
  <c r="AJ102" i="1"/>
  <c r="R102" i="1"/>
  <c r="R103" i="1" s="1"/>
  <c r="AN30" i="1"/>
  <c r="AN28" i="1"/>
  <c r="AO30" i="1"/>
  <c r="AO28" i="1"/>
  <c r="AN27" i="1"/>
  <c r="AD20" i="1"/>
  <c r="X102" i="1"/>
  <c r="X103" i="1" s="1"/>
  <c r="AO27" i="1"/>
  <c r="F102" i="1"/>
  <c r="F103" i="1" s="1"/>
  <c r="C41" i="1"/>
  <c r="C42" i="1"/>
  <c r="AD23" i="1"/>
  <c r="BL12" i="1"/>
  <c r="BL15" i="1" s="1"/>
  <c r="AM14" i="1"/>
  <c r="AM7" i="1"/>
  <c r="AU23" i="1"/>
  <c r="AU127" i="1" s="1"/>
  <c r="AU20" i="1"/>
  <c r="BF5" i="1"/>
  <c r="BF8" i="1" s="1"/>
  <c r="AZ19" i="1"/>
  <c r="BG5" i="1"/>
  <c r="BG8" i="1" s="1"/>
  <c r="BA19" i="1"/>
  <c r="BK12" i="1"/>
  <c r="BM12" i="1"/>
  <c r="BM15" i="1" s="1"/>
  <c r="F19" i="1"/>
  <c r="F23" i="1" s="1"/>
  <c r="F132" i="1" s="1"/>
  <c r="AT23" i="1"/>
  <c r="AT127" i="1" s="1"/>
  <c r="AT20" i="1"/>
  <c r="AS23" i="1"/>
  <c r="AS127" i="1" s="1"/>
  <c r="AS20" i="1"/>
  <c r="AO14" i="1"/>
  <c r="AO7" i="1"/>
  <c r="X13" i="1"/>
  <c r="AN14" i="1"/>
  <c r="AN7" i="1"/>
  <c r="BE5" i="1"/>
  <c r="BE8" i="1" s="1"/>
  <c r="AY19" i="1"/>
  <c r="R6" i="1"/>
  <c r="L19" i="1"/>
  <c r="AD102" i="1"/>
  <c r="AD103" i="1" s="1"/>
  <c r="AJ20" i="1"/>
  <c r="AJ23" i="1"/>
  <c r="X23" i="1"/>
  <c r="R19" i="1"/>
  <c r="X20" i="1" s="1"/>
  <c r="F24" i="1"/>
  <c r="R24" i="1"/>
  <c r="L24" i="1"/>
  <c r="L6" i="1"/>
  <c r="R13" i="1"/>
  <c r="L13" i="1"/>
  <c r="BK16" i="1" l="1"/>
  <c r="BK15" i="1"/>
  <c r="D54" i="9"/>
  <c r="E60" i="12"/>
  <c r="E61" i="12" s="1"/>
  <c r="D61" i="12"/>
  <c r="C61" i="12"/>
  <c r="G42" i="1"/>
  <c r="G60" i="12"/>
  <c r="G41" i="1"/>
  <c r="AO145" i="1"/>
  <c r="AO128" i="1"/>
  <c r="AN145" i="1"/>
  <c r="AN128" i="1"/>
  <c r="BG87" i="1"/>
  <c r="AN152" i="1"/>
  <c r="AO152" i="1" s="1"/>
  <c r="AP152" i="1" s="1"/>
  <c r="AS152" i="1" s="1"/>
  <c r="C19" i="7"/>
  <c r="C21" i="7" s="1"/>
  <c r="H10" i="7" s="1"/>
  <c r="H8" i="10"/>
  <c r="H12" i="10" s="1"/>
  <c r="Y42" i="1"/>
  <c r="E33" i="7" s="1"/>
  <c r="J6" i="7" s="1"/>
  <c r="Y41" i="1"/>
  <c r="D27" i="9"/>
  <c r="D8" i="10"/>
  <c r="D12" i="10" s="1"/>
  <c r="E7" i="10"/>
  <c r="E8" i="10" s="1"/>
  <c r="E12" i="10" s="1"/>
  <c r="AE42" i="1"/>
  <c r="F33" i="7" s="1"/>
  <c r="K6" i="7" s="1"/>
  <c r="AE41" i="1"/>
  <c r="S42" i="1"/>
  <c r="D33" i="7" s="1"/>
  <c r="I6" i="7" s="1"/>
  <c r="S41" i="1"/>
  <c r="AK41" i="1"/>
  <c r="O38" i="9"/>
  <c r="D29" i="9"/>
  <c r="D16" i="7"/>
  <c r="D19" i="7" s="1"/>
  <c r="D21" i="7" s="1"/>
  <c r="I10" i="7" s="1"/>
  <c r="E14" i="7"/>
  <c r="E16" i="7" s="1"/>
  <c r="M42" i="1"/>
  <c r="C33" i="7" s="1"/>
  <c r="H6" i="7" s="1"/>
  <c r="M41" i="1"/>
  <c r="AN122" i="1"/>
  <c r="AN123" i="1" s="1"/>
  <c r="L133" i="1"/>
  <c r="L134" i="1"/>
  <c r="R134" i="1"/>
  <c r="R133" i="1"/>
  <c r="F134" i="1"/>
  <c r="F133" i="1"/>
  <c r="AD147" i="1"/>
  <c r="AD132" i="1"/>
  <c r="AD135" i="1" s="1"/>
  <c r="X147" i="1"/>
  <c r="X132" i="1"/>
  <c r="X135" i="1" s="1"/>
  <c r="AJ147" i="1"/>
  <c r="AJ132" i="1"/>
  <c r="AS144" i="1"/>
  <c r="AS122" i="1" s="1"/>
  <c r="AS123" i="1" s="1"/>
  <c r="AN108" i="1"/>
  <c r="AO108" i="1"/>
  <c r="AU144" i="1"/>
  <c r="AU122" i="1" s="1"/>
  <c r="AU123" i="1" s="1"/>
  <c r="AP17" i="1"/>
  <c r="AN111" i="1"/>
  <c r="AM111" i="1"/>
  <c r="AS68" i="1"/>
  <c r="AO111" i="1"/>
  <c r="F137" i="1"/>
  <c r="F147" i="1"/>
  <c r="AT68" i="1"/>
  <c r="AJ137" i="1"/>
  <c r="AD137" i="1"/>
  <c r="AU68" i="1"/>
  <c r="X137" i="1"/>
  <c r="F14" i="1"/>
  <c r="AV56" i="1"/>
  <c r="F54" i="1"/>
  <c r="BM16" i="1"/>
  <c r="BL16" i="1"/>
  <c r="BG9" i="1"/>
  <c r="BG24" i="1" s="1"/>
  <c r="BF9" i="1"/>
  <c r="BF24" i="1" s="1"/>
  <c r="BE9" i="1"/>
  <c r="BE24" i="1" s="1"/>
  <c r="X55" i="1"/>
  <c r="X54" i="1"/>
  <c r="X53" i="1"/>
  <c r="F55" i="1"/>
  <c r="AJ55" i="1"/>
  <c r="AJ54" i="1"/>
  <c r="AJ53" i="1"/>
  <c r="F53" i="1"/>
  <c r="AS32" i="1"/>
  <c r="AD55" i="1"/>
  <c r="AD54" i="1"/>
  <c r="AD53" i="1"/>
  <c r="AU32" i="1"/>
  <c r="AT32" i="1"/>
  <c r="AT30" i="1"/>
  <c r="AT28" i="1"/>
  <c r="AU28" i="1"/>
  <c r="AU30" i="1"/>
  <c r="AS28" i="1"/>
  <c r="AS30" i="1"/>
  <c r="AS27" i="1"/>
  <c r="AT27" i="1"/>
  <c r="AT25" i="1"/>
  <c r="AU27" i="1"/>
  <c r="AU25" i="1"/>
  <c r="AO29" i="1"/>
  <c r="AO26" i="1"/>
  <c r="AM26" i="1"/>
  <c r="X47" i="1"/>
  <c r="X52" i="1"/>
  <c r="X51" i="1"/>
  <c r="AN29" i="1"/>
  <c r="AN26" i="1"/>
  <c r="F47" i="1"/>
  <c r="F52" i="1"/>
  <c r="AD25" i="1"/>
  <c r="AD52" i="1"/>
  <c r="AD51" i="1"/>
  <c r="AJ50" i="1"/>
  <c r="AJ52" i="1"/>
  <c r="AJ51" i="1"/>
  <c r="F51" i="1"/>
  <c r="AD14" i="1"/>
  <c r="AD47" i="1"/>
  <c r="AJ47" i="1"/>
  <c r="F50" i="1"/>
  <c r="X25" i="1"/>
  <c r="X50" i="1"/>
  <c r="AD7" i="1"/>
  <c r="AD50" i="1"/>
  <c r="F7" i="1"/>
  <c r="AP5" i="1"/>
  <c r="AP8" i="1" s="1"/>
  <c r="AQ8" i="1" s="1"/>
  <c r="AZ20" i="1"/>
  <c r="AZ23" i="1"/>
  <c r="AY20" i="1"/>
  <c r="AY23" i="1"/>
  <c r="AY127" i="1" s="1"/>
  <c r="AT14" i="1"/>
  <c r="AT7" i="1"/>
  <c r="BK5" i="1"/>
  <c r="BK8" i="1" s="1"/>
  <c r="BE19" i="1"/>
  <c r="AU14" i="1"/>
  <c r="AU7" i="1"/>
  <c r="X7" i="1"/>
  <c r="X14" i="1"/>
  <c r="BA23" i="1"/>
  <c r="BA127" i="1" s="1"/>
  <c r="BA20" i="1"/>
  <c r="AS14" i="1"/>
  <c r="AS7" i="1"/>
  <c r="AJ25" i="1"/>
  <c r="AJ7" i="1"/>
  <c r="AJ14" i="1"/>
  <c r="BG19" i="1"/>
  <c r="BM5" i="1"/>
  <c r="BM8" i="1" s="1"/>
  <c r="BL5" i="1"/>
  <c r="BL8" i="1" s="1"/>
  <c r="BF19" i="1"/>
  <c r="R23" i="1"/>
  <c r="R20" i="1"/>
  <c r="L20" i="1"/>
  <c r="L23" i="1"/>
  <c r="F25" i="1"/>
  <c r="C25" i="7" l="1"/>
  <c r="D25" i="7"/>
  <c r="E25" i="7"/>
  <c r="AZ127" i="1"/>
  <c r="AZ14" i="1"/>
  <c r="AS145" i="1"/>
  <c r="AS128" i="1"/>
  <c r="AU145" i="1"/>
  <c r="AU128" i="1"/>
  <c r="AT145" i="1"/>
  <c r="AT128" i="1"/>
  <c r="BH87" i="1"/>
  <c r="AO31" i="1"/>
  <c r="AO149" i="1"/>
  <c r="AO79" i="1" s="1"/>
  <c r="AN31" i="1"/>
  <c r="AN149" i="1"/>
  <c r="AN79" i="1" s="1"/>
  <c r="AT152" i="1"/>
  <c r="AU152" i="1" s="1"/>
  <c r="AV152" i="1" s="1"/>
  <c r="AY152" i="1" s="1"/>
  <c r="AQ152" i="1"/>
  <c r="AP134" i="1"/>
  <c r="F26" i="1"/>
  <c r="F29" i="1"/>
  <c r="F31" i="1" s="1"/>
  <c r="F57" i="1" s="1"/>
  <c r="E19" i="7"/>
  <c r="E21" i="7" s="1"/>
  <c r="J10" i="7" s="1"/>
  <c r="AT144" i="1"/>
  <c r="AT122" i="1" s="1"/>
  <c r="AT123" i="1" s="1"/>
  <c r="AP133" i="1"/>
  <c r="L147" i="1"/>
  <c r="L132" i="1"/>
  <c r="L135" i="1" s="1"/>
  <c r="R147" i="1"/>
  <c r="R132" i="1"/>
  <c r="R135" i="1" s="1"/>
  <c r="AT108" i="1"/>
  <c r="AZ144" i="1"/>
  <c r="AZ122" i="1" s="1"/>
  <c r="AZ123" i="1" s="1"/>
  <c r="AU111" i="1"/>
  <c r="AS108" i="1"/>
  <c r="AU108" i="1"/>
  <c r="BA144" i="1"/>
  <c r="BA122" i="1" s="1"/>
  <c r="BA123" i="1" s="1"/>
  <c r="AY144" i="1"/>
  <c r="AY122" i="1" s="1"/>
  <c r="AY123" i="1" s="1"/>
  <c r="AT111" i="1"/>
  <c r="BA68" i="1"/>
  <c r="AY68" i="1"/>
  <c r="AZ68" i="1"/>
  <c r="F135" i="1"/>
  <c r="R137" i="1"/>
  <c r="L137" i="1"/>
  <c r="AJ135" i="1"/>
  <c r="BB56" i="1"/>
  <c r="AP9" i="1"/>
  <c r="BM9" i="1"/>
  <c r="BM24" i="1" s="1"/>
  <c r="BL9" i="1"/>
  <c r="BL24" i="1" s="1"/>
  <c r="BK9" i="1"/>
  <c r="BK24" i="1" s="1"/>
  <c r="AQ5" i="1"/>
  <c r="R55" i="1"/>
  <c r="R53" i="1"/>
  <c r="R54" i="1"/>
  <c r="AZ32" i="1"/>
  <c r="L47" i="1"/>
  <c r="L55" i="1"/>
  <c r="L54" i="1"/>
  <c r="L53" i="1"/>
  <c r="BA32" i="1"/>
  <c r="AY32" i="1"/>
  <c r="AS25" i="1"/>
  <c r="AZ30" i="1"/>
  <c r="AZ28" i="1"/>
  <c r="BA30" i="1"/>
  <c r="BA28" i="1"/>
  <c r="AY30" i="1"/>
  <c r="AY28" i="1"/>
  <c r="BA27" i="1"/>
  <c r="BA25" i="1"/>
  <c r="AZ27" i="1"/>
  <c r="AZ25" i="1"/>
  <c r="AY27" i="1"/>
  <c r="AJ29" i="1"/>
  <c r="AJ31" i="1" s="1"/>
  <c r="AJ36" i="1" s="1"/>
  <c r="AJ38" i="1" s="1"/>
  <c r="AJ26" i="1"/>
  <c r="L52" i="1"/>
  <c r="L51" i="1"/>
  <c r="AT29" i="1"/>
  <c r="AT26" i="1"/>
  <c r="R47" i="1"/>
  <c r="R52" i="1"/>
  <c r="R51" i="1"/>
  <c r="AD29" i="1"/>
  <c r="AD31" i="1" s="1"/>
  <c r="AD36" i="1" s="1"/>
  <c r="AD26" i="1"/>
  <c r="X29" i="1"/>
  <c r="X31" i="1" s="1"/>
  <c r="X36" i="1" s="1"/>
  <c r="X26" i="1"/>
  <c r="AU29" i="1"/>
  <c r="AU26" i="1"/>
  <c r="AP12" i="1"/>
  <c r="AQ12" i="1" s="1"/>
  <c r="AQ13" i="1" s="1"/>
  <c r="R25" i="1"/>
  <c r="R50" i="1"/>
  <c r="L25" i="1"/>
  <c r="L29" i="1" s="1"/>
  <c r="L50" i="1"/>
  <c r="BE20" i="1"/>
  <c r="BE23" i="1"/>
  <c r="BE127" i="1" s="1"/>
  <c r="AY14" i="1"/>
  <c r="AY7" i="1"/>
  <c r="AZ7" i="1"/>
  <c r="BL19" i="1"/>
  <c r="BM19" i="1"/>
  <c r="BK19" i="1"/>
  <c r="BG20" i="1"/>
  <c r="BG23" i="1"/>
  <c r="BG127" i="1" s="1"/>
  <c r="BA14" i="1"/>
  <c r="BA7" i="1"/>
  <c r="AV5" i="1"/>
  <c r="AV8" i="1" s="1"/>
  <c r="AW8" i="1" s="1"/>
  <c r="L14" i="1"/>
  <c r="L7" i="1"/>
  <c r="R7" i="1"/>
  <c r="R14" i="1"/>
  <c r="BF23" i="1"/>
  <c r="BF127" i="1" s="1"/>
  <c r="BF20" i="1"/>
  <c r="AS29" i="1" l="1"/>
  <c r="AS31" i="1" s="1"/>
  <c r="AS26" i="1"/>
  <c r="AY145" i="1"/>
  <c r="AY128" i="1"/>
  <c r="BA145" i="1"/>
  <c r="BA128" i="1"/>
  <c r="AZ145" i="1"/>
  <c r="AZ128" i="1"/>
  <c r="AW152" i="1"/>
  <c r="AO116" i="1"/>
  <c r="BI87" i="1"/>
  <c r="BK87" i="1" s="1"/>
  <c r="AT31" i="1"/>
  <c r="AT149" i="1"/>
  <c r="AT79" i="1" s="1"/>
  <c r="AZ152" i="1"/>
  <c r="BB152" i="1" s="1"/>
  <c r="BE152" i="1" s="1"/>
  <c r="BA152" i="1"/>
  <c r="AU31" i="1"/>
  <c r="AU149" i="1"/>
  <c r="AU79" i="1" s="1"/>
  <c r="AP132" i="1"/>
  <c r="BE68" i="1"/>
  <c r="BA108" i="1"/>
  <c r="BE144" i="1"/>
  <c r="BE122" i="1" s="1"/>
  <c r="BE123" i="1" s="1"/>
  <c r="AZ108" i="1"/>
  <c r="BA111" i="1"/>
  <c r="BF144" i="1"/>
  <c r="BF122" i="1" s="1"/>
  <c r="BF123" i="1" s="1"/>
  <c r="AY108" i="1"/>
  <c r="BG144" i="1"/>
  <c r="BG122" i="1" s="1"/>
  <c r="BG123" i="1" s="1"/>
  <c r="AP137" i="1"/>
  <c r="AV137" i="1" s="1"/>
  <c r="BB137" i="1" s="1"/>
  <c r="BH137" i="1" s="1"/>
  <c r="BN137" i="1" s="1"/>
  <c r="AP53" i="1"/>
  <c r="AV53" i="1" s="1"/>
  <c r="BB53" i="1" s="1"/>
  <c r="BH53" i="1" s="1"/>
  <c r="BN53" i="1" s="1"/>
  <c r="AZ111" i="1"/>
  <c r="BG68" i="1"/>
  <c r="BF68" i="1"/>
  <c r="AP55" i="1"/>
  <c r="AV55" i="1" s="1"/>
  <c r="BB55" i="1" s="1"/>
  <c r="BH55" i="1" s="1"/>
  <c r="BN55" i="1" s="1"/>
  <c r="BH56" i="1"/>
  <c r="AP16" i="1"/>
  <c r="AP24" i="1" s="1"/>
  <c r="AV9" i="1"/>
  <c r="AQ9" i="1"/>
  <c r="AW5" i="1"/>
  <c r="AW6" i="1" s="1"/>
  <c r="AP54" i="1"/>
  <c r="AV54" i="1" s="1"/>
  <c r="BB54" i="1" s="1"/>
  <c r="BH54" i="1" s="1"/>
  <c r="BN54" i="1" s="1"/>
  <c r="AP47" i="1"/>
  <c r="AV47" i="1" s="1"/>
  <c r="BB47" i="1" s="1"/>
  <c r="BF32" i="1"/>
  <c r="BG32" i="1"/>
  <c r="AP19" i="1"/>
  <c r="AP23" i="1" s="1"/>
  <c r="AP127" i="1" s="1"/>
  <c r="BE32" i="1"/>
  <c r="AY25" i="1"/>
  <c r="AY26" i="1" s="1"/>
  <c r="BE28" i="1"/>
  <c r="BE30" i="1"/>
  <c r="BF28" i="1"/>
  <c r="BF30" i="1"/>
  <c r="BF128" i="1" s="1"/>
  <c r="BG28" i="1"/>
  <c r="BG30" i="1"/>
  <c r="BG128" i="1" s="1"/>
  <c r="AP51" i="1"/>
  <c r="AV51" i="1" s="1"/>
  <c r="BB51" i="1" s="1"/>
  <c r="BH51" i="1" s="1"/>
  <c r="BN51" i="1" s="1"/>
  <c r="BF27" i="1"/>
  <c r="BF25" i="1"/>
  <c r="BE27" i="1"/>
  <c r="BG25" i="1"/>
  <c r="BG27" i="1"/>
  <c r="AV12" i="1"/>
  <c r="AV15" i="1" s="1"/>
  <c r="AW15" i="1" s="1"/>
  <c r="L31" i="1"/>
  <c r="L36" i="1" s="1"/>
  <c r="L26" i="1"/>
  <c r="AD38" i="1"/>
  <c r="AD57" i="1"/>
  <c r="R29" i="1"/>
  <c r="R31" i="1" s="1"/>
  <c r="R36" i="1" s="1"/>
  <c r="R26" i="1"/>
  <c r="AZ29" i="1"/>
  <c r="AZ26" i="1"/>
  <c r="X38" i="1"/>
  <c r="X57" i="1"/>
  <c r="F38" i="1"/>
  <c r="F41" i="1" s="1"/>
  <c r="BA29" i="1"/>
  <c r="BA26" i="1"/>
  <c r="AJ41" i="1"/>
  <c r="AJ57" i="1"/>
  <c r="BG14" i="1"/>
  <c r="BG7" i="1"/>
  <c r="BL23" i="1"/>
  <c r="BL127" i="1" s="1"/>
  <c r="BL20" i="1"/>
  <c r="BK20" i="1"/>
  <c r="BK23" i="1"/>
  <c r="BK14" i="1" s="1"/>
  <c r="BF14" i="1"/>
  <c r="BF7" i="1"/>
  <c r="BE14" i="1"/>
  <c r="BE7" i="1"/>
  <c r="BB5" i="1"/>
  <c r="BB8" i="1" s="1"/>
  <c r="BC8" i="1" s="1"/>
  <c r="BM20" i="1"/>
  <c r="BM23" i="1"/>
  <c r="BM127" i="1" s="1"/>
  <c r="AJ44" i="1"/>
  <c r="G9" i="13" s="1"/>
  <c r="AK42" i="1"/>
  <c r="H73" i="12" s="1"/>
  <c r="BK127" i="1" l="1"/>
  <c r="AS149" i="1"/>
  <c r="AS79" i="1" s="1"/>
  <c r="BE145" i="1"/>
  <c r="BE128" i="1"/>
  <c r="AU116" i="1"/>
  <c r="BC152" i="1"/>
  <c r="BL87" i="1"/>
  <c r="AT116" i="1"/>
  <c r="BA31" i="1"/>
  <c r="BA149" i="1"/>
  <c r="BA79" i="1" s="1"/>
  <c r="BF152" i="1"/>
  <c r="BH152" i="1" s="1"/>
  <c r="BK152" i="1" s="1"/>
  <c r="BG152" i="1"/>
  <c r="AZ31" i="1"/>
  <c r="AZ149" i="1"/>
  <c r="AZ79" i="1" s="1"/>
  <c r="AP64" i="1"/>
  <c r="O34" i="9"/>
  <c r="D55" i="9"/>
  <c r="G33" i="7"/>
  <c r="BG108" i="1"/>
  <c r="BG145" i="1"/>
  <c r="BF108" i="1"/>
  <c r="BF145" i="1"/>
  <c r="AP67" i="1"/>
  <c r="AQ67" i="1" s="1"/>
  <c r="AP80" i="1"/>
  <c r="AQ80" i="1" s="1"/>
  <c r="BE108" i="1"/>
  <c r="BF111" i="1"/>
  <c r="BG111" i="1"/>
  <c r="BK144" i="1"/>
  <c r="BK122" i="1" s="1"/>
  <c r="BK123" i="1" s="1"/>
  <c r="BL144" i="1"/>
  <c r="BL122" i="1" s="1"/>
  <c r="BL123" i="1" s="1"/>
  <c r="AP144" i="1"/>
  <c r="BM144" i="1"/>
  <c r="BM122" i="1" s="1"/>
  <c r="BM123" i="1" s="1"/>
  <c r="AP68" i="1"/>
  <c r="BL68" i="1"/>
  <c r="BK68" i="1"/>
  <c r="BM68" i="1"/>
  <c r="BN56" i="1"/>
  <c r="AV16" i="1"/>
  <c r="AV24" i="1" s="1"/>
  <c r="AQ16" i="1"/>
  <c r="AQ24" i="1" s="1"/>
  <c r="BB9" i="1"/>
  <c r="AW9" i="1"/>
  <c r="BH47" i="1"/>
  <c r="BN47" i="1" s="1"/>
  <c r="AY29" i="1"/>
  <c r="AJ42" i="1"/>
  <c r="G73" i="12" s="1"/>
  <c r="G78" i="12" s="1"/>
  <c r="H78" i="12" s="1"/>
  <c r="BC5" i="1"/>
  <c r="BC6" i="1" s="1"/>
  <c r="AQ34" i="1"/>
  <c r="AQ33" i="1"/>
  <c r="AP32" i="1"/>
  <c r="AQ32" i="1" s="1"/>
  <c r="BK32" i="1"/>
  <c r="AQ19" i="1"/>
  <c r="BM32" i="1"/>
  <c r="AP20" i="1"/>
  <c r="BL32" i="1"/>
  <c r="BE25" i="1"/>
  <c r="BE29" i="1" s="1"/>
  <c r="BB12" i="1"/>
  <c r="BB15" i="1" s="1"/>
  <c r="BC15" i="1" s="1"/>
  <c r="AW12" i="1"/>
  <c r="AW13" i="1" s="1"/>
  <c r="F42" i="1"/>
  <c r="BL30" i="1"/>
  <c r="BL28" i="1"/>
  <c r="BK28" i="1"/>
  <c r="BK30" i="1"/>
  <c r="BM30" i="1"/>
  <c r="BM28" i="1"/>
  <c r="AP30" i="1"/>
  <c r="AP28" i="1"/>
  <c r="AQ28" i="1" s="1"/>
  <c r="BK27" i="1"/>
  <c r="AV19" i="1"/>
  <c r="AV23" i="1" s="1"/>
  <c r="AV127" i="1" s="1"/>
  <c r="AP27" i="1"/>
  <c r="BL27" i="1"/>
  <c r="BL25" i="1"/>
  <c r="BM27" i="1"/>
  <c r="BM25" i="1"/>
  <c r="AD41" i="1"/>
  <c r="AD42" i="1"/>
  <c r="L38" i="1"/>
  <c r="L57" i="1"/>
  <c r="BF29" i="1"/>
  <c r="BF26" i="1"/>
  <c r="R38" i="1"/>
  <c r="R57" i="1"/>
  <c r="X41" i="1"/>
  <c r="X42" i="1"/>
  <c r="BG29" i="1"/>
  <c r="BG26" i="1"/>
  <c r="BL14" i="1"/>
  <c r="BL7" i="1"/>
  <c r="BK7" i="1"/>
  <c r="BH5" i="1"/>
  <c r="BH8" i="1" s="1"/>
  <c r="BI8" i="1" s="1"/>
  <c r="AP7" i="1"/>
  <c r="AP14" i="1"/>
  <c r="BM14" i="1"/>
  <c r="BM7" i="1"/>
  <c r="G41" i="12" l="1"/>
  <c r="O17" i="9"/>
  <c r="D20" i="9"/>
  <c r="F81" i="12" s="1"/>
  <c r="BL145" i="1"/>
  <c r="BL128" i="1"/>
  <c r="AP145" i="1"/>
  <c r="AP128" i="1"/>
  <c r="BM145" i="1"/>
  <c r="BM128" i="1"/>
  <c r="BK145" i="1"/>
  <c r="BK128" i="1"/>
  <c r="BA116" i="1"/>
  <c r="AQ64" i="1"/>
  <c r="AQ109" i="1" s="1"/>
  <c r="BM87" i="1"/>
  <c r="BI152" i="1"/>
  <c r="BL152" i="1"/>
  <c r="BM152" i="1" s="1"/>
  <c r="BN152" i="1" s="1"/>
  <c r="BE31" i="1"/>
  <c r="BE149" i="1"/>
  <c r="BE79" i="1" s="1"/>
  <c r="BG31" i="1"/>
  <c r="BG149" i="1"/>
  <c r="BG79" i="1" s="1"/>
  <c r="AY31" i="1"/>
  <c r="AY149" i="1"/>
  <c r="AY79" i="1" s="1"/>
  <c r="BF31" i="1"/>
  <c r="BF149" i="1"/>
  <c r="BF79" i="1" s="1"/>
  <c r="G43" i="12"/>
  <c r="L6" i="7"/>
  <c r="C24" i="7"/>
  <c r="AP122" i="1"/>
  <c r="AP123" i="1" s="1"/>
  <c r="AQ133" i="1"/>
  <c r="AQ134" i="1"/>
  <c r="AQ68" i="1"/>
  <c r="AS111" i="1" s="1"/>
  <c r="BM108" i="1"/>
  <c r="BL108" i="1"/>
  <c r="BK108" i="1"/>
  <c r="AV144" i="1"/>
  <c r="AV122" i="1" s="1"/>
  <c r="AV123" i="1" s="1"/>
  <c r="AP108" i="1"/>
  <c r="BL111" i="1"/>
  <c r="BM111" i="1"/>
  <c r="AP111" i="1"/>
  <c r="AV68" i="1"/>
  <c r="AW68" i="1" s="1"/>
  <c r="BB16" i="1"/>
  <c r="BB24" i="1" s="1"/>
  <c r="BE26" i="1"/>
  <c r="AW16" i="1"/>
  <c r="AW24" i="1" s="1"/>
  <c r="BH9" i="1"/>
  <c r="BC9" i="1"/>
  <c r="BC12" i="1"/>
  <c r="BI5" i="1"/>
  <c r="BI6" i="1" s="1"/>
  <c r="AW19" i="1"/>
  <c r="AW20" i="1" s="1"/>
  <c r="BB19" i="1"/>
  <c r="BB20" i="1" s="1"/>
  <c r="BK25" i="1"/>
  <c r="BK29" i="1" s="1"/>
  <c r="AQ23" i="1"/>
  <c r="AP25" i="1"/>
  <c r="AP29" i="1" s="1"/>
  <c r="AW34" i="1"/>
  <c r="AW33" i="1"/>
  <c r="AV32" i="1"/>
  <c r="AW32" i="1" s="1"/>
  <c r="BH12" i="1"/>
  <c r="BH15" i="1" s="1"/>
  <c r="BI15" i="1" s="1"/>
  <c r="AV28" i="1"/>
  <c r="AW28" i="1" s="1"/>
  <c r="AV30" i="1"/>
  <c r="AV27" i="1"/>
  <c r="AW27" i="1" s="1"/>
  <c r="AV20" i="1"/>
  <c r="BM29" i="1"/>
  <c r="BM26" i="1"/>
  <c r="R42" i="1"/>
  <c r="R41" i="1"/>
  <c r="L42" i="1"/>
  <c r="L41" i="1"/>
  <c r="BL29" i="1"/>
  <c r="BL26" i="1"/>
  <c r="AV14" i="1"/>
  <c r="AV7" i="1"/>
  <c r="BN5" i="1"/>
  <c r="BN8" i="1" s="1"/>
  <c r="BO8" i="1" s="1"/>
  <c r="H64" i="12" l="1"/>
  <c r="H63" i="12"/>
  <c r="G42" i="12"/>
  <c r="BC19" i="1"/>
  <c r="BC23" i="1" s="1"/>
  <c r="BC127" i="1" s="1"/>
  <c r="BC13" i="1"/>
  <c r="AQ127" i="1"/>
  <c r="F53" i="12"/>
  <c r="F54" i="12" s="1"/>
  <c r="AV145" i="1"/>
  <c r="AV128" i="1"/>
  <c r="BF116" i="1"/>
  <c r="BG116" i="1"/>
  <c r="BN87" i="1"/>
  <c r="AZ116" i="1"/>
  <c r="BO152" i="1"/>
  <c r="BL31" i="1"/>
  <c r="BL149" i="1"/>
  <c r="BL79" i="1" s="1"/>
  <c r="AP31" i="1"/>
  <c r="AP149" i="1"/>
  <c r="AP79" i="1" s="1"/>
  <c r="BK31" i="1"/>
  <c r="BK149" i="1"/>
  <c r="BK79" i="1" s="1"/>
  <c r="BM31" i="1"/>
  <c r="BM149" i="1"/>
  <c r="BM79" i="1" s="1"/>
  <c r="C26" i="7"/>
  <c r="H11" i="7" s="1"/>
  <c r="AQ132" i="1"/>
  <c r="AQ135" i="1" s="1"/>
  <c r="I11" i="10"/>
  <c r="D24" i="7"/>
  <c r="AQ111" i="1"/>
  <c r="AQ122" i="1"/>
  <c r="AQ123" i="1" s="1"/>
  <c r="AV108" i="1"/>
  <c r="AY111" i="1"/>
  <c r="AV111" i="1"/>
  <c r="AW30" i="1"/>
  <c r="BH16" i="1"/>
  <c r="BH24" i="1" s="1"/>
  <c r="BC16" i="1"/>
  <c r="BC24" i="1" s="1"/>
  <c r="BK26" i="1"/>
  <c r="BN9" i="1"/>
  <c r="BI9" i="1"/>
  <c r="BI12" i="1"/>
  <c r="AV25" i="1"/>
  <c r="AV29" i="1" s="1"/>
  <c r="BO5" i="1"/>
  <c r="BO6" i="1" s="1"/>
  <c r="AP26" i="1"/>
  <c r="BH19" i="1"/>
  <c r="BH23" i="1" s="1"/>
  <c r="BH127" i="1" s="1"/>
  <c r="AW23" i="1"/>
  <c r="AW127" i="1" s="1"/>
  <c r="AQ25" i="1"/>
  <c r="AQ7" i="1"/>
  <c r="AQ14" i="1"/>
  <c r="BB23" i="1"/>
  <c r="BB127" i="1" s="1"/>
  <c r="BN12" i="1"/>
  <c r="BN15" i="1" s="1"/>
  <c r="BO15" i="1" s="1"/>
  <c r="BC20" i="1" l="1"/>
  <c r="BM116" i="1"/>
  <c r="BI19" i="1"/>
  <c r="BI20" i="1" s="1"/>
  <c r="BI13" i="1"/>
  <c r="J15" i="7"/>
  <c r="J16" i="7" s="1"/>
  <c r="F41" i="12"/>
  <c r="J9" i="10"/>
  <c r="AW128" i="1"/>
  <c r="AP116" i="1"/>
  <c r="AS116" i="1"/>
  <c r="BL116" i="1"/>
  <c r="BO87" i="1"/>
  <c r="AQ79" i="1"/>
  <c r="AV31" i="1"/>
  <c r="AV149" i="1"/>
  <c r="AV79" i="1" s="1"/>
  <c r="G30" i="12"/>
  <c r="D26" i="7"/>
  <c r="I11" i="7" s="1"/>
  <c r="P5" i="7" s="1"/>
  <c r="P6" i="7" s="1"/>
  <c r="E24" i="7"/>
  <c r="E26" i="7" s="1"/>
  <c r="J11" i="7" s="1"/>
  <c r="F43" i="12" s="1"/>
  <c r="K11" i="10"/>
  <c r="BC122" i="1"/>
  <c r="BC123" i="1" s="1"/>
  <c r="BH144" i="1"/>
  <c r="BH122" i="1" s="1"/>
  <c r="BH123" i="1" s="1"/>
  <c r="AW108" i="1"/>
  <c r="BB144" i="1"/>
  <c r="BB122" i="1" s="1"/>
  <c r="BB123" i="1" s="1"/>
  <c r="J11" i="10"/>
  <c r="AW122" i="1"/>
  <c r="AW123" i="1" s="1"/>
  <c r="AW111" i="1"/>
  <c r="BB27" i="1"/>
  <c r="BC27" i="1" s="1"/>
  <c r="BB68" i="1"/>
  <c r="BH68" i="1"/>
  <c r="BI68" i="1" s="1"/>
  <c r="BH20" i="1"/>
  <c r="BB28" i="1"/>
  <c r="BC28" i="1" s="1"/>
  <c r="BN16" i="1"/>
  <c r="BN24" i="1" s="1"/>
  <c r="BB30" i="1"/>
  <c r="BI16" i="1"/>
  <c r="BI24" i="1" s="1"/>
  <c r="BO9" i="1"/>
  <c r="BB14" i="1"/>
  <c r="AV26" i="1"/>
  <c r="BO12" i="1"/>
  <c r="BO13" i="1" s="1"/>
  <c r="AQ26" i="1"/>
  <c r="F55" i="12" s="1"/>
  <c r="BB25" i="1"/>
  <c r="BB26" i="1" s="1"/>
  <c r="BI34" i="1"/>
  <c r="BI33" i="1"/>
  <c r="BH32" i="1"/>
  <c r="BI32" i="1" s="1"/>
  <c r="BN19" i="1"/>
  <c r="BN23" i="1" s="1"/>
  <c r="BN127" i="1" s="1"/>
  <c r="BC25" i="1"/>
  <c r="BC7" i="1"/>
  <c r="BC14" i="1"/>
  <c r="BC34" i="1"/>
  <c r="BC33" i="1"/>
  <c r="BB32" i="1"/>
  <c r="BC32" i="1" s="1"/>
  <c r="AW25" i="1"/>
  <c r="AW7" i="1"/>
  <c r="AW14" i="1"/>
  <c r="BB7" i="1"/>
  <c r="BH28" i="1"/>
  <c r="BI28" i="1" s="1"/>
  <c r="BH30" i="1"/>
  <c r="BH128" i="1" s="1"/>
  <c r="BH27" i="1"/>
  <c r="BI27" i="1" s="1"/>
  <c r="BH14" i="1"/>
  <c r="BH7" i="1"/>
  <c r="F42" i="12" l="1"/>
  <c r="K15" i="7"/>
  <c r="BI23" i="1"/>
  <c r="BI127" i="1" s="1"/>
  <c r="L11" i="10" s="1"/>
  <c r="BB145" i="1"/>
  <c r="BB128" i="1"/>
  <c r="AV116" i="1"/>
  <c r="AY116" i="1"/>
  <c r="AW79" i="1"/>
  <c r="H15" i="7"/>
  <c r="H16" i="7" s="1"/>
  <c r="G31" i="12"/>
  <c r="I15" i="7"/>
  <c r="I16" i="7" s="1"/>
  <c r="BH108" i="1"/>
  <c r="BH145" i="1"/>
  <c r="BC68" i="1"/>
  <c r="BE111" i="1" s="1"/>
  <c r="BH111" i="1"/>
  <c r="BN144" i="1"/>
  <c r="BN122" i="1" s="1"/>
  <c r="BN123" i="1" s="1"/>
  <c r="BB108" i="1"/>
  <c r="BI122" i="1"/>
  <c r="BI123" i="1" s="1"/>
  <c r="BB111" i="1"/>
  <c r="BC30" i="1"/>
  <c r="BI30" i="1"/>
  <c r="BK111" i="1"/>
  <c r="BN68" i="1"/>
  <c r="BO68" i="1" s="1"/>
  <c r="BB29" i="1"/>
  <c r="BO16" i="1"/>
  <c r="BO24" i="1" s="1"/>
  <c r="BO19" i="1"/>
  <c r="BO33" i="1"/>
  <c r="BN32" i="1"/>
  <c r="BO32" i="1" s="1"/>
  <c r="BO34" i="1"/>
  <c r="BN20" i="1"/>
  <c r="AW26" i="1"/>
  <c r="AW29" i="1"/>
  <c r="BC29" i="1"/>
  <c r="BC149" i="1" s="1"/>
  <c r="BC26" i="1"/>
  <c r="BH25" i="1"/>
  <c r="BH29" i="1" s="1"/>
  <c r="BN30" i="1"/>
  <c r="BN28" i="1"/>
  <c r="BO28" i="1" s="1"/>
  <c r="BN27" i="1"/>
  <c r="BO27" i="1" s="1"/>
  <c r="BN7" i="1"/>
  <c r="BN14" i="1"/>
  <c r="BI25" i="1" l="1"/>
  <c r="BI29" i="1" s="1"/>
  <c r="BI14" i="1"/>
  <c r="BI7" i="1"/>
  <c r="L9" i="10"/>
  <c r="BI128" i="1"/>
  <c r="K9" i="10"/>
  <c r="BC128" i="1"/>
  <c r="BN145" i="1"/>
  <c r="BN128" i="1"/>
  <c r="BC111" i="1"/>
  <c r="AW31" i="1"/>
  <c r="J6" i="10" s="1"/>
  <c r="J8" i="10" s="1"/>
  <c r="AW149" i="1"/>
  <c r="BH31" i="1"/>
  <c r="BH149" i="1"/>
  <c r="BH79" i="1" s="1"/>
  <c r="BB31" i="1"/>
  <c r="BB149" i="1"/>
  <c r="BB79" i="1" s="1"/>
  <c r="BN108" i="1"/>
  <c r="BI108" i="1"/>
  <c r="BC108" i="1"/>
  <c r="BI111" i="1"/>
  <c r="BN111" i="1"/>
  <c r="BC31" i="1"/>
  <c r="BO30" i="1"/>
  <c r="BO23" i="1"/>
  <c r="BO20" i="1"/>
  <c r="BN25" i="1"/>
  <c r="BN26" i="1" s="1"/>
  <c r="BH26" i="1"/>
  <c r="BI26" i="1" l="1"/>
  <c r="BO127" i="1"/>
  <c r="M11" i="10" s="1"/>
  <c r="H53" i="12"/>
  <c r="M9" i="10"/>
  <c r="BO128" i="1"/>
  <c r="BB116" i="1"/>
  <c r="BE116" i="1"/>
  <c r="BH116" i="1"/>
  <c r="BK116" i="1"/>
  <c r="BC79" i="1"/>
  <c r="BI31" i="1"/>
  <c r="L6" i="10" s="1"/>
  <c r="L8" i="10" s="1"/>
  <c r="BI149" i="1"/>
  <c r="K6" i="10"/>
  <c r="K8" i="10" s="1"/>
  <c r="BO122" i="1"/>
  <c r="BO123" i="1" s="1"/>
  <c r="BO108" i="1"/>
  <c r="BO111" i="1"/>
  <c r="BO14" i="1"/>
  <c r="BO7" i="1"/>
  <c r="BO25" i="1"/>
  <c r="BN29" i="1"/>
  <c r="BI79" i="1" l="1"/>
  <c r="BN31" i="1"/>
  <c r="BN149" i="1"/>
  <c r="BN79" i="1" s="1"/>
  <c r="BN116" i="1" s="1"/>
  <c r="BO29" i="1"/>
  <c r="BO26" i="1"/>
  <c r="BO79" i="1" l="1"/>
  <c r="BO31" i="1"/>
  <c r="M6" i="10" s="1"/>
  <c r="M8" i="10" s="1"/>
  <c r="BO149" i="1"/>
  <c r="AM29" i="1" l="1"/>
  <c r="AM149" i="1" s="1"/>
  <c r="AQ27" i="1"/>
  <c r="AQ29" i="1" s="1"/>
  <c r="AQ149" i="1" l="1"/>
  <c r="H58" i="12"/>
  <c r="F58" i="12"/>
  <c r="F59" i="12" s="1"/>
  <c r="AM79" i="1"/>
  <c r="AM85" i="1" s="1"/>
  <c r="AM150" i="1"/>
  <c r="AM89" i="1" s="1"/>
  <c r="AM117" i="1" l="1"/>
  <c r="AM93" i="1"/>
  <c r="AM94" i="1" s="1"/>
  <c r="AM116" i="1"/>
  <c r="AN116" i="1"/>
  <c r="AN150" i="1"/>
  <c r="AN89" i="1" s="1"/>
  <c r="AM151" i="1"/>
  <c r="AJ62" i="1"/>
  <c r="AK69" i="1"/>
  <c r="AK77" i="1" s="1"/>
  <c r="AK103" i="1" s="1"/>
  <c r="AU133" i="1"/>
  <c r="AV133" i="1"/>
  <c r="AV134" i="1"/>
  <c r="AQ112" i="1"/>
  <c r="AV132" i="1"/>
  <c r="AV64" i="1" s="1"/>
  <c r="AS134" i="1"/>
  <c r="AP135" i="1"/>
  <c r="AS133" i="1"/>
  <c r="AU134" i="1"/>
  <c r="AT133" i="1"/>
  <c r="AT67" i="1" s="1"/>
  <c r="AT134" i="1"/>
  <c r="AT80" i="1" s="1"/>
  <c r="AT132" i="1"/>
  <c r="AT64" i="1" s="1"/>
  <c r="AU132" i="1"/>
  <c r="AU64" i="1" s="1"/>
  <c r="AN135" i="1"/>
  <c r="AS132" i="1"/>
  <c r="AS64" i="1" s="1"/>
  <c r="AO135" i="1"/>
  <c r="AM135" i="1"/>
  <c r="AN139" i="1"/>
  <c r="AO139" i="1"/>
  <c r="AP139" i="1"/>
  <c r="AN110" i="1"/>
  <c r="AQ110" i="1"/>
  <c r="AM112" i="1"/>
  <c r="AP110" i="1"/>
  <c r="AN85" i="1"/>
  <c r="AO110" i="1"/>
  <c r="AO112" i="1"/>
  <c r="AM118" i="1" l="1"/>
  <c r="AN117" i="1"/>
  <c r="AN93" i="1"/>
  <c r="AN94" i="1" s="1"/>
  <c r="AO150" i="1"/>
  <c r="AN151" i="1"/>
  <c r="AJ69" i="1"/>
  <c r="AJ77" i="1" s="1"/>
  <c r="AJ103" i="1" s="1"/>
  <c r="AZ133" i="1"/>
  <c r="AT135" i="1"/>
  <c r="BA134" i="1"/>
  <c r="AU80" i="1"/>
  <c r="AU85" i="1" s="1"/>
  <c r="BB133" i="1"/>
  <c r="BB67" i="1" s="1"/>
  <c r="AV67" i="1"/>
  <c r="AW67" i="1" s="1"/>
  <c r="BA133" i="1"/>
  <c r="AU67" i="1"/>
  <c r="AU110" i="1" s="1"/>
  <c r="AZ134" i="1"/>
  <c r="AY134" i="1"/>
  <c r="AY80" i="1" s="1"/>
  <c r="AS80" i="1"/>
  <c r="BB134" i="1"/>
  <c r="BB80" i="1" s="1"/>
  <c r="AV80" i="1"/>
  <c r="AY133" i="1"/>
  <c r="AY67" i="1" s="1"/>
  <c r="AS67" i="1"/>
  <c r="AM110" i="1"/>
  <c r="AP85" i="1"/>
  <c r="AQ85" i="1" s="1"/>
  <c r="AN112" i="1"/>
  <c r="AS135" i="1"/>
  <c r="AN109" i="1"/>
  <c r="AY132" i="1"/>
  <c r="AY64" i="1" s="1"/>
  <c r="AM139" i="1"/>
  <c r="AM109" i="1"/>
  <c r="AS109" i="1"/>
  <c r="AQ139" i="1"/>
  <c r="I10" i="10" s="1"/>
  <c r="AZ132" i="1"/>
  <c r="AZ64" i="1" s="1"/>
  <c r="AV135" i="1"/>
  <c r="AT85" i="1"/>
  <c r="BB132" i="1"/>
  <c r="BB64" i="1" s="1"/>
  <c r="AP109" i="1"/>
  <c r="AU135" i="1"/>
  <c r="BA132" i="1"/>
  <c r="BA64" i="1" s="1"/>
  <c r="AO109" i="1"/>
  <c r="AO85" i="1"/>
  <c r="AP112" i="1"/>
  <c r="AS139" i="1" l="1"/>
  <c r="AN36" i="1"/>
  <c r="AN37" i="1" s="1"/>
  <c r="AN118" i="1"/>
  <c r="AP150" i="1"/>
  <c r="AO151" i="1"/>
  <c r="AO89" i="1"/>
  <c r="AS110" i="1"/>
  <c r="AV112" i="1"/>
  <c r="BE134" i="1"/>
  <c r="BE80" i="1" s="1"/>
  <c r="AV110" i="1"/>
  <c r="BH133" i="1"/>
  <c r="BH67" i="1" s="1"/>
  <c r="AT110" i="1"/>
  <c r="AW110" i="1"/>
  <c r="AW133" i="1"/>
  <c r="AZ80" i="1"/>
  <c r="AZ85" i="1" s="1"/>
  <c r="BF134" i="1"/>
  <c r="BH134" i="1"/>
  <c r="BH80" i="1" s="1"/>
  <c r="BE133" i="1"/>
  <c r="BE67" i="1" s="1"/>
  <c r="BG134" i="1"/>
  <c r="BA80" i="1"/>
  <c r="BB112" i="1" s="1"/>
  <c r="BA67" i="1"/>
  <c r="BB110" i="1" s="1"/>
  <c r="BG133" i="1"/>
  <c r="AY110" i="1"/>
  <c r="BF133" i="1"/>
  <c r="AZ67" i="1"/>
  <c r="AV85" i="1"/>
  <c r="AW80" i="1"/>
  <c r="AU112" i="1"/>
  <c r="AY135" i="1"/>
  <c r="AY139" i="1"/>
  <c r="BE132" i="1"/>
  <c r="BE64" i="1" s="1"/>
  <c r="BF132" i="1"/>
  <c r="BF64" i="1" s="1"/>
  <c r="AZ135" i="1"/>
  <c r="BC67" i="1"/>
  <c r="BH132" i="1"/>
  <c r="BH64" i="1" s="1"/>
  <c r="BB135" i="1"/>
  <c r="AS112" i="1"/>
  <c r="AS85" i="1"/>
  <c r="BG132" i="1"/>
  <c r="BG64" i="1" s="1"/>
  <c r="BA135" i="1"/>
  <c r="AV139" i="1"/>
  <c r="AW64" i="1"/>
  <c r="AW132" i="1" s="1"/>
  <c r="AU139" i="1"/>
  <c r="AV109" i="1"/>
  <c r="AY85" i="1"/>
  <c r="AT112" i="1"/>
  <c r="BC80" i="1"/>
  <c r="BB85" i="1"/>
  <c r="AT139" i="1"/>
  <c r="AU109" i="1"/>
  <c r="AT109" i="1"/>
  <c r="BK132" i="1" l="1"/>
  <c r="BK64" i="1" s="1"/>
  <c r="BK134" i="1"/>
  <c r="BK80" i="1" s="1"/>
  <c r="BK85" i="1" s="1"/>
  <c r="AO117" i="1"/>
  <c r="AO118" i="1" s="1"/>
  <c r="AO93" i="1"/>
  <c r="AO94" i="1" s="1"/>
  <c r="AO35" i="1"/>
  <c r="AO36" i="1" s="1"/>
  <c r="AO37" i="1" s="1"/>
  <c r="AO38" i="1" s="1"/>
  <c r="AQ150" i="1"/>
  <c r="AP89" i="1"/>
  <c r="AP151" i="1"/>
  <c r="AN107" i="1"/>
  <c r="AN113" i="1" s="1"/>
  <c r="AN125" i="1" s="1"/>
  <c r="AN41" i="1"/>
  <c r="BA110" i="1"/>
  <c r="BE135" i="1"/>
  <c r="BN133" i="1"/>
  <c r="BN67" i="1" s="1"/>
  <c r="BO67" i="1" s="1"/>
  <c r="AW112" i="1"/>
  <c r="AW134" i="1"/>
  <c r="AW135" i="1" s="1"/>
  <c r="BC112" i="1"/>
  <c r="BC134" i="1"/>
  <c r="AZ112" i="1"/>
  <c r="BC110" i="1"/>
  <c r="BC133" i="1"/>
  <c r="BF67" i="1"/>
  <c r="BF110" i="1" s="1"/>
  <c r="BL133" i="1"/>
  <c r="AW85" i="1"/>
  <c r="BG67" i="1"/>
  <c r="BM133" i="1"/>
  <c r="BM67" i="1" s="1"/>
  <c r="BL134" i="1"/>
  <c r="BF80" i="1"/>
  <c r="BF85" i="1" s="1"/>
  <c r="BG80" i="1"/>
  <c r="BH112" i="1" s="1"/>
  <c r="BM134" i="1"/>
  <c r="BM80" i="1" s="1"/>
  <c r="BA112" i="1"/>
  <c r="BA85" i="1"/>
  <c r="BK133" i="1"/>
  <c r="BN134" i="1"/>
  <c r="BN80" i="1" s="1"/>
  <c r="AY112" i="1"/>
  <c r="AZ110" i="1"/>
  <c r="BB139" i="1"/>
  <c r="BC64" i="1"/>
  <c r="BC132" i="1" s="1"/>
  <c r="BI67" i="1"/>
  <c r="BI133" i="1" s="1"/>
  <c r="AY109" i="1"/>
  <c r="AW139" i="1"/>
  <c r="AW140" i="1" s="1"/>
  <c r="J10" i="10" s="1"/>
  <c r="J12" i="10" s="1"/>
  <c r="BH135" i="1"/>
  <c r="BN132" i="1"/>
  <c r="BN64" i="1" s="1"/>
  <c r="BB109" i="1"/>
  <c r="BA139" i="1"/>
  <c r="BE85" i="1"/>
  <c r="BE112" i="1"/>
  <c r="BI80" i="1"/>
  <c r="BH85" i="1"/>
  <c r="BE139" i="1"/>
  <c r="BF109" i="1"/>
  <c r="AW109" i="1"/>
  <c r="BE110" i="1"/>
  <c r="BC85" i="1"/>
  <c r="AZ139" i="1"/>
  <c r="BA109" i="1"/>
  <c r="AZ109" i="1"/>
  <c r="BG135" i="1"/>
  <c r="BM132" i="1"/>
  <c r="BM64" i="1" s="1"/>
  <c r="BF135" i="1"/>
  <c r="BL132" i="1"/>
  <c r="BL64" i="1" s="1"/>
  <c r="BK135" i="1" l="1"/>
  <c r="BK67" i="1"/>
  <c r="BK139" i="1" s="1"/>
  <c r="AP117" i="1"/>
  <c r="AP118" i="1" s="1"/>
  <c r="AP93" i="1"/>
  <c r="BG110" i="1"/>
  <c r="AO107" i="1"/>
  <c r="AO113" i="1" s="1"/>
  <c r="AO125" i="1" s="1"/>
  <c r="AO41" i="1"/>
  <c r="BN110" i="1"/>
  <c r="AQ89" i="1"/>
  <c r="AQ35" i="1" s="1"/>
  <c r="AP35" i="1"/>
  <c r="AP36" i="1" s="1"/>
  <c r="AS150" i="1"/>
  <c r="AQ151" i="1"/>
  <c r="BF112" i="1"/>
  <c r="BC135" i="1"/>
  <c r="BN112" i="1"/>
  <c r="BO110" i="1"/>
  <c r="BO133" i="1"/>
  <c r="BI112" i="1"/>
  <c r="BI134" i="1"/>
  <c r="BL80" i="1"/>
  <c r="BL112" i="1" s="1"/>
  <c r="BO80" i="1"/>
  <c r="BN85" i="1"/>
  <c r="BO85" i="1" s="1"/>
  <c r="BK112" i="1"/>
  <c r="BH110" i="1"/>
  <c r="BL67" i="1"/>
  <c r="BM85" i="1"/>
  <c r="BG85" i="1"/>
  <c r="BG112" i="1"/>
  <c r="BL135" i="1"/>
  <c r="BI110" i="1"/>
  <c r="BN135" i="1"/>
  <c r="BI85" i="1"/>
  <c r="BE109" i="1"/>
  <c r="BC139" i="1"/>
  <c r="BC140" i="1" s="1"/>
  <c r="K10" i="10" s="1"/>
  <c r="K12" i="10" s="1"/>
  <c r="BH109" i="1"/>
  <c r="BG139" i="1"/>
  <c r="BI64" i="1"/>
  <c r="BH139" i="1"/>
  <c r="BC109" i="1"/>
  <c r="BF139" i="1"/>
  <c r="BG109" i="1"/>
  <c r="BM135" i="1"/>
  <c r="BL109" i="1"/>
  <c r="BK110" i="1" l="1"/>
  <c r="BL110" i="1"/>
  <c r="AQ93" i="1"/>
  <c r="AP94" i="1"/>
  <c r="AQ94" i="1" s="1"/>
  <c r="AT150" i="1"/>
  <c r="AS89" i="1"/>
  <c r="AS151" i="1"/>
  <c r="AP37" i="1"/>
  <c r="AP38" i="1" s="1"/>
  <c r="BM112" i="1"/>
  <c r="BI109" i="1"/>
  <c r="BI132" i="1"/>
  <c r="BI135" i="1" s="1"/>
  <c r="BO112" i="1"/>
  <c r="BO134" i="1"/>
  <c r="BM110" i="1"/>
  <c r="BL85" i="1"/>
  <c r="BI139" i="1"/>
  <c r="BI140" i="1" s="1"/>
  <c r="L10" i="10" s="1"/>
  <c r="BK109" i="1"/>
  <c r="BM139" i="1"/>
  <c r="BN109" i="1"/>
  <c r="BN139" i="1"/>
  <c r="BO64" i="1"/>
  <c r="BL139" i="1"/>
  <c r="BM109" i="1"/>
  <c r="L12" i="10" l="1"/>
  <c r="L15" i="10" s="1"/>
  <c r="AS117" i="1"/>
  <c r="AS118" i="1" s="1"/>
  <c r="AS93" i="1"/>
  <c r="AS94" i="1" s="1"/>
  <c r="AS35" i="1"/>
  <c r="AS36" i="1" s="1"/>
  <c r="AP107" i="1"/>
  <c r="AP113" i="1" s="1"/>
  <c r="AP125" i="1" s="1"/>
  <c r="AP41" i="1"/>
  <c r="AU150" i="1"/>
  <c r="AT89" i="1"/>
  <c r="AT151" i="1"/>
  <c r="BO139" i="1"/>
  <c r="BO140" i="1" s="1"/>
  <c r="M10" i="10" s="1"/>
  <c r="M12" i="10" s="1"/>
  <c r="BO132" i="1"/>
  <c r="BO135" i="1" s="1"/>
  <c r="BO109" i="1"/>
  <c r="AM128" i="1"/>
  <c r="AT117" i="1" l="1"/>
  <c r="AT118" i="1" s="1"/>
  <c r="AT93" i="1"/>
  <c r="AT94" i="1" s="1"/>
  <c r="AS37" i="1"/>
  <c r="AS38" i="1" s="1"/>
  <c r="AT35" i="1"/>
  <c r="AT36" i="1" s="1"/>
  <c r="AT37" i="1" s="1"/>
  <c r="AT38" i="1" s="1"/>
  <c r="AV150" i="1"/>
  <c r="AU89" i="1"/>
  <c r="AU151" i="1"/>
  <c r="AM108" i="1"/>
  <c r="D21" i="10"/>
  <c r="D22" i="10" s="1"/>
  <c r="M15" i="10"/>
  <c r="AQ30" i="1"/>
  <c r="AQ128" i="1" s="1"/>
  <c r="AM31" i="1"/>
  <c r="AM36" i="1" s="1"/>
  <c r="AM37" i="1" s="1"/>
  <c r="AM145" i="1"/>
  <c r="AU117" i="1" l="1"/>
  <c r="AU118" i="1" s="1"/>
  <c r="AU93" i="1"/>
  <c r="AU94" i="1" s="1"/>
  <c r="AS107" i="1"/>
  <c r="AS113" i="1" s="1"/>
  <c r="AS125" i="1" s="1"/>
  <c r="AS41" i="1"/>
  <c r="AU35" i="1"/>
  <c r="AU36" i="1" s="1"/>
  <c r="AU37" i="1" s="1"/>
  <c r="AU38" i="1" s="1"/>
  <c r="AW150" i="1"/>
  <c r="AV89" i="1"/>
  <c r="AV151" i="1"/>
  <c r="AT107" i="1"/>
  <c r="AT113" i="1" s="1"/>
  <c r="AT125" i="1" s="1"/>
  <c r="AT41" i="1"/>
  <c r="AM146" i="1"/>
  <c r="AM70" i="1" s="1"/>
  <c r="AN143" i="1" s="1"/>
  <c r="AN146" i="1" s="1"/>
  <c r="AN70" i="1" s="1"/>
  <c r="AO143" i="1" s="1"/>
  <c r="AO146" i="1" s="1"/>
  <c r="AO70" i="1" s="1"/>
  <c r="AP143" i="1" s="1"/>
  <c r="AP146" i="1" s="1"/>
  <c r="AP70" i="1" s="1"/>
  <c r="AQ70" i="1" s="1"/>
  <c r="AS143" i="1" s="1"/>
  <c r="AS146" i="1" s="1"/>
  <c r="AS70" i="1" s="1"/>
  <c r="AT143" i="1" s="1"/>
  <c r="AT146" i="1" s="1"/>
  <c r="AT70" i="1" s="1"/>
  <c r="AU143" i="1" s="1"/>
  <c r="AU146" i="1" s="1"/>
  <c r="AU70" i="1" s="1"/>
  <c r="AV143" i="1" s="1"/>
  <c r="AV146" i="1" s="1"/>
  <c r="AV70" i="1" s="1"/>
  <c r="AW70" i="1" s="1"/>
  <c r="AY143" i="1" s="1"/>
  <c r="AY146" i="1" s="1"/>
  <c r="AY70" i="1" s="1"/>
  <c r="AZ143" i="1" s="1"/>
  <c r="AZ146" i="1" s="1"/>
  <c r="AZ70" i="1" s="1"/>
  <c r="BA143" i="1" s="1"/>
  <c r="BA146" i="1" s="1"/>
  <c r="BA70" i="1" s="1"/>
  <c r="BB143" i="1" s="1"/>
  <c r="BB146" i="1" s="1"/>
  <c r="BB70" i="1" s="1"/>
  <c r="BC70" i="1" s="1"/>
  <c r="BE143" i="1" s="1"/>
  <c r="BE146" i="1" s="1"/>
  <c r="BE70" i="1" s="1"/>
  <c r="BF143" i="1" s="1"/>
  <c r="BF146" i="1" s="1"/>
  <c r="BF70" i="1" s="1"/>
  <c r="BG143" i="1" s="1"/>
  <c r="BG146" i="1" s="1"/>
  <c r="BG70" i="1" s="1"/>
  <c r="BH143" i="1" s="1"/>
  <c r="BH146" i="1" s="1"/>
  <c r="BH70" i="1" s="1"/>
  <c r="BI70" i="1" s="1"/>
  <c r="BK143" i="1" s="1"/>
  <c r="BK146" i="1" s="1"/>
  <c r="BK70" i="1" s="1"/>
  <c r="BL143" i="1" s="1"/>
  <c r="BL146" i="1" s="1"/>
  <c r="BL70" i="1" s="1"/>
  <c r="BM143" i="1" s="1"/>
  <c r="BM146" i="1" s="1"/>
  <c r="BM70" i="1" s="1"/>
  <c r="BN143" i="1" s="1"/>
  <c r="BN146" i="1" s="1"/>
  <c r="BN70" i="1" s="1"/>
  <c r="BO70" i="1" s="1"/>
  <c r="AQ108" i="1"/>
  <c r="I9" i="10"/>
  <c r="AQ31" i="1"/>
  <c r="AQ37" i="1" l="1"/>
  <c r="AM38" i="1"/>
  <c r="AM100" i="1" s="1"/>
  <c r="AM101" i="1" s="1"/>
  <c r="AM102" i="1" s="1"/>
  <c r="H56" i="12"/>
  <c r="F56" i="12"/>
  <c r="F57" i="12" s="1"/>
  <c r="AV117" i="1"/>
  <c r="AV118" i="1" s="1"/>
  <c r="AV93" i="1"/>
  <c r="AU107" i="1"/>
  <c r="AU113" i="1" s="1"/>
  <c r="AU125" i="1" s="1"/>
  <c r="AU41" i="1"/>
  <c r="AW89" i="1"/>
  <c r="AW35" i="1" s="1"/>
  <c r="AW36" i="1" s="1"/>
  <c r="AV35" i="1"/>
  <c r="AV36" i="1" s="1"/>
  <c r="AY150" i="1"/>
  <c r="AW151" i="1"/>
  <c r="AQ36" i="1"/>
  <c r="I6" i="10"/>
  <c r="I8" i="10" s="1"/>
  <c r="I12" i="10" s="1"/>
  <c r="F60" i="12" l="1"/>
  <c r="F61" i="12" s="1"/>
  <c r="AV94" i="1"/>
  <c r="AW94" i="1" s="1"/>
  <c r="AW93" i="1"/>
  <c r="AZ150" i="1"/>
  <c r="AY89" i="1"/>
  <c r="AY151" i="1"/>
  <c r="AV37" i="1"/>
  <c r="AW37" i="1" s="1"/>
  <c r="AW38" i="1" s="1"/>
  <c r="AM107" i="1"/>
  <c r="AM113" i="1" s="1"/>
  <c r="AM125" i="1" s="1"/>
  <c r="AM41" i="1"/>
  <c r="AQ41" i="1" l="1"/>
  <c r="AQ107" i="1"/>
  <c r="AQ113" i="1" s="1"/>
  <c r="AQ125" i="1" s="1"/>
  <c r="AY117" i="1"/>
  <c r="AY118" i="1" s="1"/>
  <c r="AY93" i="1"/>
  <c r="AY94" i="1" s="1"/>
  <c r="AY35" i="1"/>
  <c r="AY36" i="1" s="1"/>
  <c r="AM62" i="1"/>
  <c r="AV38" i="1"/>
  <c r="AV41" i="1" s="1"/>
  <c r="AW107" i="1"/>
  <c r="AW113" i="1" s="1"/>
  <c r="AW125" i="1" s="1"/>
  <c r="AW41" i="1"/>
  <c r="BA150" i="1"/>
  <c r="AZ89" i="1"/>
  <c r="AZ151" i="1"/>
  <c r="AN100" i="1"/>
  <c r="AZ117" i="1" l="1"/>
  <c r="AZ118" i="1" s="1"/>
  <c r="AZ93" i="1"/>
  <c r="AZ94" i="1" s="1"/>
  <c r="AZ35" i="1"/>
  <c r="AZ36" i="1" s="1"/>
  <c r="AZ37" i="1" s="1"/>
  <c r="AY37" i="1"/>
  <c r="AY38" i="1" s="1"/>
  <c r="AV107" i="1"/>
  <c r="AV113" i="1" s="1"/>
  <c r="AV125" i="1" s="1"/>
  <c r="BB150" i="1"/>
  <c r="BA89" i="1"/>
  <c r="BA151" i="1"/>
  <c r="AM69" i="1"/>
  <c r="AN62" i="1"/>
  <c r="AO62" i="1" s="1"/>
  <c r="AO100" i="1"/>
  <c r="AN101" i="1"/>
  <c r="AN102" i="1" s="1"/>
  <c r="BA117" i="1" l="1"/>
  <c r="BA118" i="1" s="1"/>
  <c r="BA93" i="1"/>
  <c r="BA94" i="1" s="1"/>
  <c r="AY107" i="1"/>
  <c r="AY113" i="1" s="1"/>
  <c r="AY125" i="1" s="1"/>
  <c r="AY41" i="1"/>
  <c r="AZ38" i="1"/>
  <c r="AZ41" i="1" s="1"/>
  <c r="BA35" i="1"/>
  <c r="BA36" i="1" s="1"/>
  <c r="BA37" i="1" s="1"/>
  <c r="BC150" i="1"/>
  <c r="BB89" i="1"/>
  <c r="BB151" i="1"/>
  <c r="AM77" i="1"/>
  <c r="AM103" i="1" s="1"/>
  <c r="AN69" i="1"/>
  <c r="AN77" i="1" s="1"/>
  <c r="AN103" i="1" s="1"/>
  <c r="AO69" i="1"/>
  <c r="AO77" i="1" s="1"/>
  <c r="AP62" i="1"/>
  <c r="AQ62" i="1" s="1"/>
  <c r="AO101" i="1"/>
  <c r="AO102" i="1" s="1"/>
  <c r="AP100" i="1"/>
  <c r="AZ107" i="1" l="1"/>
  <c r="AZ113" i="1" s="1"/>
  <c r="AZ125" i="1" s="1"/>
  <c r="BB117" i="1"/>
  <c r="BB118" i="1" s="1"/>
  <c r="BB93" i="1"/>
  <c r="BA38" i="1"/>
  <c r="BA107" i="1" s="1"/>
  <c r="BA113" i="1" s="1"/>
  <c r="BA125" i="1" s="1"/>
  <c r="BE150" i="1"/>
  <c r="BC151" i="1"/>
  <c r="BC89" i="1"/>
  <c r="BC35" i="1" s="1"/>
  <c r="BC36" i="1" s="1"/>
  <c r="BB35" i="1"/>
  <c r="BB36" i="1" s="1"/>
  <c r="AO103" i="1"/>
  <c r="AQ100" i="1"/>
  <c r="AS100" i="1" s="1"/>
  <c r="AP101" i="1"/>
  <c r="AP69" i="1"/>
  <c r="AS62" i="1"/>
  <c r="BA41" i="1" l="1"/>
  <c r="BC93" i="1"/>
  <c r="BB94" i="1"/>
  <c r="BC94" i="1" s="1"/>
  <c r="BB37" i="1"/>
  <c r="BC37" i="1" s="1"/>
  <c r="BC38" i="1" s="1"/>
  <c r="BF150" i="1"/>
  <c r="BE89" i="1"/>
  <c r="BE151" i="1"/>
  <c r="AS69" i="1"/>
  <c r="AS77" i="1" s="1"/>
  <c r="AT62" i="1"/>
  <c r="AQ101" i="1"/>
  <c r="AP102" i="1"/>
  <c r="AQ102" i="1" s="1"/>
  <c r="AP77" i="1"/>
  <c r="AQ69" i="1"/>
  <c r="AS101" i="1"/>
  <c r="AS102" i="1" s="1"/>
  <c r="AT100" i="1"/>
  <c r="BB38" i="1" l="1"/>
  <c r="BB41" i="1" s="1"/>
  <c r="BE117" i="1"/>
  <c r="BE118" i="1" s="1"/>
  <c r="BE93" i="1"/>
  <c r="BE94" i="1" s="1"/>
  <c r="BE35" i="1"/>
  <c r="BE36" i="1" s="1"/>
  <c r="BE37" i="1" s="1"/>
  <c r="BE38" i="1" s="1"/>
  <c r="BG150" i="1"/>
  <c r="BF89" i="1"/>
  <c r="BF151" i="1"/>
  <c r="BC41" i="1"/>
  <c r="BC107" i="1"/>
  <c r="BC113" i="1" s="1"/>
  <c r="BC125" i="1" s="1"/>
  <c r="AQ77" i="1"/>
  <c r="AP103" i="1"/>
  <c r="AQ103" i="1" s="1"/>
  <c r="AT101" i="1"/>
  <c r="AT102" i="1" s="1"/>
  <c r="AU100" i="1"/>
  <c r="AU62" i="1"/>
  <c r="AT69" i="1"/>
  <c r="AT77" i="1" s="1"/>
  <c r="AS103" i="1"/>
  <c r="BB107" i="1" l="1"/>
  <c r="BB113" i="1" s="1"/>
  <c r="BB125" i="1" s="1"/>
  <c r="BF117" i="1"/>
  <c r="BF118" i="1" s="1"/>
  <c r="BF93" i="1"/>
  <c r="BF94" i="1" s="1"/>
  <c r="BF35" i="1"/>
  <c r="BF36" i="1" s="1"/>
  <c r="BF37" i="1" s="1"/>
  <c r="BF38" i="1" s="1"/>
  <c r="BE107" i="1"/>
  <c r="BE113" i="1" s="1"/>
  <c r="BE125" i="1" s="1"/>
  <c r="BE41" i="1"/>
  <c r="BH150" i="1"/>
  <c r="BG89" i="1"/>
  <c r="BG151" i="1"/>
  <c r="AT103" i="1"/>
  <c r="AV62" i="1"/>
  <c r="AW62" i="1" s="1"/>
  <c r="AU69" i="1"/>
  <c r="AU77" i="1" s="1"/>
  <c r="AV100" i="1"/>
  <c r="AU101" i="1"/>
  <c r="AU102" i="1" s="1"/>
  <c r="BG117" i="1" l="1"/>
  <c r="BG118" i="1" s="1"/>
  <c r="BG93" i="1"/>
  <c r="BG94" i="1" s="1"/>
  <c r="BG35" i="1"/>
  <c r="BG36" i="1" s="1"/>
  <c r="BG37" i="1" s="1"/>
  <c r="BG38" i="1" s="1"/>
  <c r="BF107" i="1"/>
  <c r="BF113" i="1" s="1"/>
  <c r="BF125" i="1" s="1"/>
  <c r="BF41" i="1"/>
  <c r="BI150" i="1"/>
  <c r="BH89" i="1"/>
  <c r="BH151" i="1"/>
  <c r="AW100" i="1"/>
  <c r="AY100" i="1" s="1"/>
  <c r="AV101" i="1"/>
  <c r="AU103" i="1"/>
  <c r="AV69" i="1"/>
  <c r="AY62" i="1"/>
  <c r="BH117" i="1" l="1"/>
  <c r="BH118" i="1" s="1"/>
  <c r="BH93" i="1"/>
  <c r="BK150" i="1"/>
  <c r="BI151" i="1"/>
  <c r="BI89" i="1"/>
  <c r="BI35" i="1" s="1"/>
  <c r="BI36" i="1" s="1"/>
  <c r="BH35" i="1"/>
  <c r="BH36" i="1" s="1"/>
  <c r="BG107" i="1"/>
  <c r="BG113" i="1" s="1"/>
  <c r="BG125" i="1" s="1"/>
  <c r="BG41" i="1"/>
  <c r="AY69" i="1"/>
  <c r="AY77" i="1" s="1"/>
  <c r="AZ62" i="1"/>
  <c r="AV102" i="1"/>
  <c r="AW102" i="1" s="1"/>
  <c r="AW101" i="1"/>
  <c r="AV77" i="1"/>
  <c r="AW69" i="1"/>
  <c r="AY101" i="1"/>
  <c r="AY102" i="1" s="1"/>
  <c r="AZ100" i="1"/>
  <c r="BI93" i="1" l="1"/>
  <c r="BH94" i="1"/>
  <c r="BI94" i="1" s="1"/>
  <c r="BH37" i="1"/>
  <c r="BI37" i="1" s="1"/>
  <c r="BI38" i="1" s="1"/>
  <c r="BL150" i="1"/>
  <c r="BK89" i="1"/>
  <c r="BK151" i="1"/>
  <c r="AV103" i="1"/>
  <c r="AW77" i="1"/>
  <c r="AW103" i="1" s="1"/>
  <c r="AZ69" i="1"/>
  <c r="AZ77" i="1" s="1"/>
  <c r="BA62" i="1"/>
  <c r="AZ101" i="1"/>
  <c r="AZ102" i="1" s="1"/>
  <c r="BA100" i="1"/>
  <c r="AY103" i="1"/>
  <c r="BK117" i="1" l="1"/>
  <c r="BK118" i="1" s="1"/>
  <c r="BK93" i="1"/>
  <c r="BK94" i="1" s="1"/>
  <c r="BH38" i="1"/>
  <c r="BH107" i="1" s="1"/>
  <c r="BH113" i="1" s="1"/>
  <c r="BH125" i="1" s="1"/>
  <c r="BK35" i="1"/>
  <c r="BK36" i="1" s="1"/>
  <c r="BK37" i="1" s="1"/>
  <c r="BK38" i="1" s="1"/>
  <c r="BM150" i="1"/>
  <c r="BL89" i="1"/>
  <c r="BL151" i="1"/>
  <c r="BI107" i="1"/>
  <c r="BI113" i="1" s="1"/>
  <c r="BI125" i="1" s="1"/>
  <c r="BI41" i="1"/>
  <c r="BB100" i="1"/>
  <c r="BA101" i="1"/>
  <c r="BA102" i="1" s="1"/>
  <c r="BB62" i="1"/>
  <c r="BC62" i="1" s="1"/>
  <c r="BA69" i="1"/>
  <c r="BA77" i="1" s="1"/>
  <c r="AZ103" i="1"/>
  <c r="BH41" i="1" l="1"/>
  <c r="BL117" i="1"/>
  <c r="BL118" i="1" s="1"/>
  <c r="BL93" i="1"/>
  <c r="BL94" i="1" s="1"/>
  <c r="BL35" i="1"/>
  <c r="BL36" i="1" s="1"/>
  <c r="BL37" i="1" s="1"/>
  <c r="BL38" i="1" s="1"/>
  <c r="BA103" i="1"/>
  <c r="BK107" i="1"/>
  <c r="BK113" i="1" s="1"/>
  <c r="BK125" i="1" s="1"/>
  <c r="BK41" i="1"/>
  <c r="BN150" i="1"/>
  <c r="BM89" i="1"/>
  <c r="BM151" i="1"/>
  <c r="BE62" i="1"/>
  <c r="BB69" i="1"/>
  <c r="BC100" i="1"/>
  <c r="BE100" i="1" s="1"/>
  <c r="BB101" i="1"/>
  <c r="BM117" i="1" l="1"/>
  <c r="BM118" i="1" s="1"/>
  <c r="BM93" i="1"/>
  <c r="BM94" i="1" s="1"/>
  <c r="BM35" i="1"/>
  <c r="BM36" i="1" s="1"/>
  <c r="BM37" i="1" s="1"/>
  <c r="BM38" i="1" s="1"/>
  <c r="BO150" i="1"/>
  <c r="BO151" i="1" s="1"/>
  <c r="BN89" i="1"/>
  <c r="BN151" i="1"/>
  <c r="BL107" i="1"/>
  <c r="BL113" i="1" s="1"/>
  <c r="BL125" i="1" s="1"/>
  <c r="BL41" i="1"/>
  <c r="BB102" i="1"/>
  <c r="BC102" i="1" s="1"/>
  <c r="BC101" i="1"/>
  <c r="BF100" i="1"/>
  <c r="BE101" i="1"/>
  <c r="BE102" i="1" s="1"/>
  <c r="BB77" i="1"/>
  <c r="BC69" i="1"/>
  <c r="BF62" i="1"/>
  <c r="BE69" i="1"/>
  <c r="BE77" i="1" s="1"/>
  <c r="BN117" i="1" l="1"/>
  <c r="BN118" i="1" s="1"/>
  <c r="BN93" i="1"/>
  <c r="BM107" i="1"/>
  <c r="BM113" i="1" s="1"/>
  <c r="BM125" i="1" s="1"/>
  <c r="BM41" i="1"/>
  <c r="BO89" i="1"/>
  <c r="BO35" i="1" s="1"/>
  <c r="BO36" i="1" s="1"/>
  <c r="BN35" i="1"/>
  <c r="BN36" i="1" s="1"/>
  <c r="BE103" i="1"/>
  <c r="BG62" i="1"/>
  <c r="BF69" i="1"/>
  <c r="BF77" i="1" s="1"/>
  <c r="BB103" i="1"/>
  <c r="BC77" i="1"/>
  <c r="BC103" i="1" s="1"/>
  <c r="BF101" i="1"/>
  <c r="BF102" i="1" s="1"/>
  <c r="BG100" i="1"/>
  <c r="BN94" i="1" l="1"/>
  <c r="BO94" i="1" s="1"/>
  <c r="BO93" i="1"/>
  <c r="BN37" i="1"/>
  <c r="BO37" i="1" s="1"/>
  <c r="BO38" i="1" s="1"/>
  <c r="BG101" i="1"/>
  <c r="BG102" i="1" s="1"/>
  <c r="BH100" i="1"/>
  <c r="BF103" i="1"/>
  <c r="BG69" i="1"/>
  <c r="BG77" i="1" s="1"/>
  <c r="BH62" i="1"/>
  <c r="BI62" i="1" s="1"/>
  <c r="H60" i="12" l="1"/>
  <c r="BN38" i="1"/>
  <c r="BN107" i="1" s="1"/>
  <c r="BN113" i="1" s="1"/>
  <c r="BN125" i="1" s="1"/>
  <c r="BO41" i="1"/>
  <c r="BO107" i="1"/>
  <c r="BO113" i="1" s="1"/>
  <c r="BO125" i="1" s="1"/>
  <c r="BG103" i="1"/>
  <c r="BH69" i="1"/>
  <c r="BK62" i="1"/>
  <c r="BH101" i="1"/>
  <c r="BI100" i="1"/>
  <c r="BK100" i="1" s="1"/>
  <c r="BN41" i="1" l="1"/>
  <c r="BK101" i="1"/>
  <c r="BK102" i="1" s="1"/>
  <c r="BL100" i="1"/>
  <c r="BH102" i="1"/>
  <c r="BI102" i="1" s="1"/>
  <c r="BI101" i="1"/>
  <c r="BK69" i="1"/>
  <c r="BK77" i="1" s="1"/>
  <c r="BL62" i="1"/>
  <c r="BH77" i="1"/>
  <c r="BI69" i="1"/>
  <c r="BK103" i="1" l="1"/>
  <c r="BH103" i="1"/>
  <c r="BI77" i="1"/>
  <c r="BI103" i="1" s="1"/>
  <c r="BL69" i="1"/>
  <c r="BL77" i="1" s="1"/>
  <c r="BM62" i="1"/>
  <c r="BM100" i="1"/>
  <c r="BL101" i="1"/>
  <c r="BL102" i="1" s="1"/>
  <c r="BN100" i="1" l="1"/>
  <c r="BM101" i="1"/>
  <c r="BM102" i="1" s="1"/>
  <c r="BM69" i="1"/>
  <c r="BM77" i="1" s="1"/>
  <c r="BN62" i="1"/>
  <c r="BO62" i="1" s="1"/>
  <c r="BL103" i="1"/>
  <c r="BM103" i="1" l="1"/>
  <c r="BN69" i="1"/>
  <c r="BO100" i="1"/>
  <c r="BN101" i="1"/>
  <c r="BN102" i="1" l="1"/>
  <c r="BO102" i="1" s="1"/>
  <c r="BO101" i="1"/>
  <c r="BO69" i="1"/>
  <c r="BN77" i="1"/>
  <c r="BN103" i="1" l="1"/>
  <c r="BO77" i="1"/>
  <c r="BO103" i="1" s="1"/>
  <c r="I15" i="10" l="1"/>
  <c r="J15" i="10" l="1"/>
  <c r="K15" i="10" l="1"/>
  <c r="D23" i="10" l="1"/>
  <c r="D24" i="10" s="1"/>
  <c r="D28" i="10" s="1"/>
  <c r="D29" i="10" s="1"/>
  <c r="G29" i="12" l="1"/>
  <c r="C34" i="10"/>
  <c r="H32" i="12" l="1"/>
  <c r="H11" i="12" s="1"/>
  <c r="H10" i="12" s="1"/>
  <c r="C19" i="13" l="1"/>
  <c r="C20" i="13"/>
  <c r="H9" i="12"/>
  <c r="C23" i="13" l="1"/>
  <c r="I8" i="13" s="1"/>
  <c r="I7" i="13" l="1"/>
  <c r="I9" i="13" s="1"/>
  <c r="AM44" i="1" s="1"/>
  <c r="AM42" i="1" s="1"/>
  <c r="D72" i="12" s="1"/>
  <c r="J8" i="13"/>
  <c r="K8" i="13" s="1"/>
  <c r="J7" i="13" l="1"/>
  <c r="J9" i="13" s="1"/>
  <c r="AN44" i="1" s="1"/>
  <c r="AN42" i="1" s="1"/>
  <c r="E72" i="12" s="1"/>
  <c r="K7" i="13"/>
  <c r="L8" i="13"/>
  <c r="K9" i="13" l="1"/>
  <c r="AO44" i="1" s="1"/>
  <c r="AO42" i="1" s="1"/>
  <c r="F72" i="12" s="1"/>
  <c r="N8" i="13"/>
  <c r="L7" i="13"/>
  <c r="L9" i="13" l="1"/>
  <c r="AP44" i="1" s="1"/>
  <c r="O8" i="13"/>
  <c r="N7" i="13"/>
  <c r="N9" i="13" l="1"/>
  <c r="AS44" i="1" s="1"/>
  <c r="AS42" i="1" s="1"/>
  <c r="D71" i="12" s="1"/>
  <c r="AQ44" i="1"/>
  <c r="AP42" i="1"/>
  <c r="O7" i="13"/>
  <c r="P8" i="13"/>
  <c r="O9" i="13" l="1"/>
  <c r="AT44" i="1" s="1"/>
  <c r="AT42" i="1" s="1"/>
  <c r="E71" i="12" s="1"/>
  <c r="P7" i="13"/>
  <c r="Q8" i="13"/>
  <c r="S8" i="13" s="1"/>
  <c r="G72" i="12"/>
  <c r="AQ42" i="1"/>
  <c r="H72" i="12" s="1"/>
  <c r="P9" i="13" l="1"/>
  <c r="AU44" i="1" s="1"/>
  <c r="AU42" i="1" s="1"/>
  <c r="F71" i="12" s="1"/>
  <c r="Q7" i="13"/>
  <c r="Q9" i="13" l="1"/>
  <c r="AV44" i="1" s="1"/>
  <c r="S7" i="13"/>
  <c r="T8" i="13"/>
  <c r="S9" i="13" l="1"/>
  <c r="AY44" i="1" s="1"/>
  <c r="AY42" i="1" s="1"/>
  <c r="T7" i="13"/>
  <c r="U8" i="13"/>
  <c r="AW44" i="1"/>
  <c r="AV42" i="1"/>
  <c r="T9" i="13" l="1"/>
  <c r="AZ44" i="1" s="1"/>
  <c r="AZ42" i="1" s="1"/>
  <c r="V8" i="13"/>
  <c r="U7" i="13"/>
  <c r="G71" i="12"/>
  <c r="AW42" i="1"/>
  <c r="H71" i="12" s="1"/>
  <c r="U9" i="13" l="1"/>
  <c r="BA44" i="1" s="1"/>
  <c r="BA42" i="1" s="1"/>
  <c r="X8" i="13"/>
  <c r="V7" i="13"/>
  <c r="V9" i="13" l="1"/>
  <c r="BB44" i="1" s="1"/>
  <c r="Y8" i="13"/>
  <c r="X7" i="13"/>
  <c r="X9" i="13" l="1"/>
  <c r="BE44" i="1" s="1"/>
  <c r="BE42" i="1" s="1"/>
  <c r="Z8" i="13"/>
  <c r="Y7" i="13"/>
  <c r="BC44" i="1"/>
  <c r="BB42" i="1"/>
  <c r="BC42" i="1" s="1"/>
  <c r="Y9" i="13" l="1"/>
  <c r="BF44" i="1" s="1"/>
  <c r="BF42" i="1" s="1"/>
  <c r="AA8" i="13"/>
  <c r="Z7" i="13"/>
  <c r="Z9" i="13" l="1"/>
  <c r="BG44" i="1" s="1"/>
  <c r="BG42" i="1" s="1"/>
  <c r="AC8" i="13"/>
  <c r="AA7" i="13"/>
  <c r="AA9" i="13" l="1"/>
  <c r="BH44" i="1" s="1"/>
  <c r="BI44" i="1" s="1"/>
  <c r="AD8" i="13"/>
  <c r="AC7" i="13"/>
  <c r="AC9" i="13" l="1"/>
  <c r="BK44" i="1" s="1"/>
  <c r="BH42" i="1"/>
  <c r="BI42" i="1" s="1"/>
  <c r="AD7" i="13"/>
  <c r="AE8" i="13"/>
  <c r="AD9" i="13" l="1"/>
  <c r="BL44" i="1" s="1"/>
  <c r="AF8" i="13"/>
  <c r="AF7" i="13" s="1"/>
  <c r="AE7" i="13"/>
  <c r="BK42" i="1"/>
  <c r="AE9" i="13" l="1"/>
  <c r="BM44" i="1" s="1"/>
  <c r="BL42" i="1"/>
  <c r="AF9" i="13" l="1"/>
  <c r="BN44" i="1" s="1"/>
  <c r="BM42" i="1"/>
  <c r="BO44" i="1" l="1"/>
  <c r="BN42" i="1"/>
  <c r="BO42" i="1" s="1"/>
</calcChain>
</file>

<file path=xl/sharedStrings.xml><?xml version="1.0" encoding="utf-8"?>
<sst xmlns="http://schemas.openxmlformats.org/spreadsheetml/2006/main" count="602" uniqueCount="422">
  <si>
    <t>Mar. 31, 2017</t>
  </si>
  <si>
    <t>Service revenues</t>
  </si>
  <si>
    <t>Product revenues</t>
  </si>
  <si>
    <t>Total revenues</t>
  </si>
  <si>
    <t>Accretion of environmental liabilities</t>
  </si>
  <si>
    <t>Depreciation and amortization</t>
  </si>
  <si>
    <t>Other expense</t>
  </si>
  <si>
    <t>Basic (in USD per share)</t>
  </si>
  <si>
    <t>Diluted (in USD per share)</t>
  </si>
  <si>
    <t>Shares used to compute loss per share - Basic (in shares)</t>
  </si>
  <si>
    <t>Jun. 30, 2017</t>
  </si>
  <si>
    <t>Loss on early extinguishment of debt</t>
  </si>
  <si>
    <t>Earnings (loss) per share:</t>
  </si>
  <si>
    <t>Income Statement</t>
  </si>
  <si>
    <t>Interest expense</t>
  </si>
  <si>
    <t>Sep. 30, 2017</t>
  </si>
  <si>
    <t>Gain on sale of business (Loss)</t>
  </si>
  <si>
    <t>Dec. 31, 2017</t>
  </si>
  <si>
    <t>Mar. 31, 2018</t>
  </si>
  <si>
    <t>Jun. 30, 2018</t>
  </si>
  <si>
    <t>Sep. 30, 2018</t>
  </si>
  <si>
    <t>Dec. 31, 2018</t>
  </si>
  <si>
    <t>Mar. 31, 2019</t>
  </si>
  <si>
    <t>Jun. 30, 2019</t>
  </si>
  <si>
    <t>Sep. 30, 2019</t>
  </si>
  <si>
    <t>Dec. 31, 2019</t>
  </si>
  <si>
    <t>Mar. 31, 2020</t>
  </si>
  <si>
    <t>Jun. 30, 2020</t>
  </si>
  <si>
    <t>Sep. 30, 2020</t>
  </si>
  <si>
    <t>Dec. 31, 2020</t>
  </si>
  <si>
    <t>Mar. 31, 2021</t>
  </si>
  <si>
    <t>Jun. 30, 2021</t>
  </si>
  <si>
    <t>Sep. 30, 2021</t>
  </si>
  <si>
    <t>Dec. 31, 2021</t>
  </si>
  <si>
    <t>Mar. 31, 2022</t>
  </si>
  <si>
    <t>Jun. 30, 2022</t>
  </si>
  <si>
    <t> </t>
  </si>
  <si>
    <t>Sep. 30, 2022</t>
  </si>
  <si>
    <t>Dec. 31, 2022</t>
  </si>
  <si>
    <t>Clean Harbors</t>
  </si>
  <si>
    <t>Units: Thousands of $USD</t>
  </si>
  <si>
    <t>Current assets:</t>
  </si>
  <si>
    <t>Cash and cash equivalents</t>
  </si>
  <si>
    <t>Unbilled accounts receivable</t>
  </si>
  <si>
    <t>Deferred costs</t>
  </si>
  <si>
    <t>Inventories and supplies</t>
  </si>
  <si>
    <t>Prepaid expenses and other current assets</t>
  </si>
  <si>
    <t>Total current assets</t>
  </si>
  <si>
    <t>Property, plant and equipment, net</t>
  </si>
  <si>
    <t>Other assets:</t>
  </si>
  <si>
    <t>Goodwill</t>
  </si>
  <si>
    <t>Permits and other intangibles, net</t>
  </si>
  <si>
    <t>Other</t>
  </si>
  <si>
    <t>Total other assets</t>
  </si>
  <si>
    <t>Total assets</t>
  </si>
  <si>
    <t>Current liabilities:</t>
  </si>
  <si>
    <t>Accounts payable</t>
  </si>
  <si>
    <t>Deferred revenue</t>
  </si>
  <si>
    <t>Current portion of closure, post-closure and remedial liabilities</t>
  </si>
  <si>
    <t>Total current liabilities</t>
  </si>
  <si>
    <t>Other liabilities:</t>
  </si>
  <si>
    <t>Closure and post-closure liabilities, less current portion of $6,019 and $6,220, respectively</t>
  </si>
  <si>
    <t>Remedial liabilities, less current portion of $15,550 and $13,796, respectively</t>
  </si>
  <si>
    <t>Total other liabilities</t>
  </si>
  <si>
    <t xml:space="preserve"> </t>
  </si>
  <si>
    <t>Stockholders’ equity:</t>
  </si>
  <si>
    <t>Shares held under employee participation plan</t>
  </si>
  <si>
    <t>Additional paid-in capital</t>
  </si>
  <si>
    <t>Accumulated other comprehensive loss</t>
  </si>
  <si>
    <t>Total stockholders’ equity</t>
  </si>
  <si>
    <t>Total liabilities and stockholders’ equity</t>
  </si>
  <si>
    <t>Current portion of long-term obligations</t>
  </si>
  <si>
    <t>Short-term marketable securities</t>
  </si>
  <si>
    <t>Current portion of operating lease liability</t>
  </si>
  <si>
    <t>Operating lease liability, less current portion</t>
  </si>
  <si>
    <t>Other long-term liabilities</t>
  </si>
  <si>
    <t>Accrued expenses and other current liabilities</t>
  </si>
  <si>
    <t>Deferred taxes liabilities</t>
  </si>
  <si>
    <t xml:space="preserve">Long-term obligations, less current portion </t>
  </si>
  <si>
    <t>Gross Profit</t>
  </si>
  <si>
    <t>Net Income</t>
  </si>
  <si>
    <t>Total COGS</t>
  </si>
  <si>
    <t>% Revenue</t>
  </si>
  <si>
    <t>% Growth (YOY)</t>
  </si>
  <si>
    <t>SG&amp;A</t>
  </si>
  <si>
    <t>D&amp;A</t>
  </si>
  <si>
    <t>EBITDA</t>
  </si>
  <si>
    <t>EBIT</t>
  </si>
  <si>
    <t>EBT</t>
  </si>
  <si>
    <t>Income Tax Provision</t>
  </si>
  <si>
    <t xml:space="preserve">Total Liabilities </t>
  </si>
  <si>
    <t>Check</t>
  </si>
  <si>
    <t>Retained earnings</t>
  </si>
  <si>
    <t xml:space="preserve">Balance Sheet </t>
  </si>
  <si>
    <t xml:space="preserve">Income Statement Assumptions </t>
  </si>
  <si>
    <t>Gross margin</t>
  </si>
  <si>
    <t>D&amp;A % revenue</t>
  </si>
  <si>
    <t xml:space="preserve">SG&amp;A % revenue </t>
  </si>
  <si>
    <t>Accretion of enviornmental libilities % revnue</t>
  </si>
  <si>
    <t>Interest Expense as % LTD</t>
  </si>
  <si>
    <t xml:space="preserve">Other expense % revenue </t>
  </si>
  <si>
    <t xml:space="preserve">Loss on early extinguishment of debt % revenue </t>
  </si>
  <si>
    <t xml:space="preserve">Gain on sale of business (Loss) % revenue </t>
  </si>
  <si>
    <t>Tax Rate</t>
  </si>
  <si>
    <t>Revenue Breakdown</t>
  </si>
  <si>
    <t xml:space="preserve">Cost of Service revenues </t>
  </si>
  <si>
    <t xml:space="preserve">Gross margin </t>
  </si>
  <si>
    <t>Cost of Product revenues</t>
  </si>
  <si>
    <t>Days Inventory Outstanding (Inventory, DIO)</t>
  </si>
  <si>
    <t>Days Payable Outstanding (Aaccounts Payable, DPO)</t>
  </si>
  <si>
    <t>Days Sales Outstanding (Accounts Recievable, DSO)</t>
  </si>
  <si>
    <t xml:space="preserve">Cash Conversion Cycle </t>
  </si>
  <si>
    <t>Prepaid Expense % Revenue</t>
  </si>
  <si>
    <t xml:space="preserve">Net Working Capital </t>
  </si>
  <si>
    <t xml:space="preserve">PP&amp;E - Beginning </t>
  </si>
  <si>
    <t>Plus: Capex</t>
  </si>
  <si>
    <t>Less: D&amp;A</t>
  </si>
  <si>
    <t xml:space="preserve">PP&amp;E - Ending </t>
  </si>
  <si>
    <t xml:space="preserve">PP&amp;E Schedule </t>
  </si>
  <si>
    <t>Repurchases of common stock</t>
  </si>
  <si>
    <t>Statement of Cash Flows</t>
  </si>
  <si>
    <t xml:space="preserve">Capex as % Revenue </t>
  </si>
  <si>
    <t>Operating lease asset</t>
  </si>
  <si>
    <t>Cash From Operations (CFO)</t>
  </si>
  <si>
    <t>Accounts Receivable</t>
  </si>
  <si>
    <t>Inventory</t>
  </si>
  <si>
    <t>Accounts Payable</t>
  </si>
  <si>
    <t>Repurchase of common stock</t>
  </si>
  <si>
    <t>Total CFO:</t>
  </si>
  <si>
    <t>Total Change in Cash</t>
  </si>
  <si>
    <t>Cash From Investing (CFI)</t>
  </si>
  <si>
    <t>Prepaid Expenses</t>
  </si>
  <si>
    <t>Capex</t>
  </si>
  <si>
    <t>Total CFI</t>
  </si>
  <si>
    <t>Common Stock</t>
  </si>
  <si>
    <t>x</t>
  </si>
  <si>
    <t>Capex/PP&amp;E</t>
  </si>
  <si>
    <t>Historical Valuation</t>
  </si>
  <si>
    <t>EV/Sales</t>
  </si>
  <si>
    <t>Bear</t>
  </si>
  <si>
    <t>Base</t>
  </si>
  <si>
    <t>Bull</t>
  </si>
  <si>
    <t>Multiples</t>
  </si>
  <si>
    <t>FY 19</t>
  </si>
  <si>
    <t>FY 20</t>
  </si>
  <si>
    <t>FY 21</t>
  </si>
  <si>
    <t>FY 22</t>
  </si>
  <si>
    <t>Implied Upside</t>
  </si>
  <si>
    <t>Sales</t>
  </si>
  <si>
    <t>Implied Price</t>
  </si>
  <si>
    <t>Multiple</t>
  </si>
  <si>
    <t>EV/EBITDA</t>
  </si>
  <si>
    <t>Current Price</t>
  </si>
  <si>
    <t>Enterprise Value</t>
  </si>
  <si>
    <t>P/E</t>
  </si>
  <si>
    <t>Upside</t>
  </si>
  <si>
    <t>Cash</t>
  </si>
  <si>
    <t>Debt</t>
  </si>
  <si>
    <t>Summary</t>
  </si>
  <si>
    <t>Weight</t>
  </si>
  <si>
    <t>Market Cap.</t>
  </si>
  <si>
    <t>Diluted Shares</t>
  </si>
  <si>
    <t>Price Target</t>
  </si>
  <si>
    <t>Share Price</t>
  </si>
  <si>
    <t>EPS</t>
  </si>
  <si>
    <t>Historical</t>
  </si>
  <si>
    <t>FY 18</t>
  </si>
  <si>
    <t>Historical Sales</t>
  </si>
  <si>
    <t>Historical EBITDA</t>
  </si>
  <si>
    <t>Historical EV</t>
  </si>
  <si>
    <t>Price (12/31)</t>
  </si>
  <si>
    <t>Date</t>
  </si>
  <si>
    <t>Close</t>
  </si>
  <si>
    <t>CLH</t>
  </si>
  <si>
    <t>ITOT</t>
  </si>
  <si>
    <t>Change</t>
  </si>
  <si>
    <t>Calculations</t>
  </si>
  <si>
    <t>Regression Beta</t>
  </si>
  <si>
    <t>Risk Free Rate</t>
  </si>
  <si>
    <t>Market Risk Premium</t>
  </si>
  <si>
    <t>CAPM</t>
  </si>
  <si>
    <t>Comparable Valuation</t>
  </si>
  <si>
    <t>Target Company</t>
  </si>
  <si>
    <t>Comparable Companies</t>
  </si>
  <si>
    <t>Valuation</t>
  </si>
  <si>
    <t>Company Information</t>
  </si>
  <si>
    <t>Company Name</t>
  </si>
  <si>
    <t>Downside</t>
  </si>
  <si>
    <t xml:space="preserve">Ticker </t>
  </si>
  <si>
    <t>Market Capitalization ($)</t>
  </si>
  <si>
    <t>Units</t>
  </si>
  <si>
    <t>Thousands</t>
  </si>
  <si>
    <t xml:space="preserve">Share Price </t>
  </si>
  <si>
    <t>Price Target:</t>
  </si>
  <si>
    <t>Book Value / Share (BV/s)</t>
  </si>
  <si>
    <t>Upside:</t>
  </si>
  <si>
    <t>BV/s as % of Share Price</t>
  </si>
  <si>
    <t>Profitability</t>
  </si>
  <si>
    <t>% Gross Margin</t>
  </si>
  <si>
    <t>% EBITDA Margin</t>
  </si>
  <si>
    <t>% EBIT Margin</t>
  </si>
  <si>
    <t>% Net Profit Margin</t>
  </si>
  <si>
    <t xml:space="preserve">Credit </t>
  </si>
  <si>
    <t>EBITDA Interest Coverage</t>
  </si>
  <si>
    <t xml:space="preserve">Debt to Equity </t>
  </si>
  <si>
    <t>Debt to Capital</t>
  </si>
  <si>
    <t>Balance Sheet and Other Inputs</t>
  </si>
  <si>
    <t xml:space="preserve">2022 Financial Results </t>
  </si>
  <si>
    <t>Share Price (12/22)</t>
  </si>
  <si>
    <t>2022A EPS</t>
  </si>
  <si>
    <t xml:space="preserve">Diluted Shares </t>
  </si>
  <si>
    <t>2022A EBIT</t>
  </si>
  <si>
    <t>Market Capitalization</t>
  </si>
  <si>
    <t>2022A EBITDA</t>
  </si>
  <si>
    <t>Less: Cash</t>
  </si>
  <si>
    <t xml:space="preserve">2022A Net Income </t>
  </si>
  <si>
    <t xml:space="preserve">Plus: Debt </t>
  </si>
  <si>
    <t>2022A Cash</t>
  </si>
  <si>
    <t xml:space="preserve">Enterprise Value </t>
  </si>
  <si>
    <t>2022A Debt</t>
  </si>
  <si>
    <t xml:space="preserve">Book Value </t>
  </si>
  <si>
    <t xml:space="preserve">2022A Diluted Shares </t>
  </si>
  <si>
    <t>Income Statement Inputs (ttm)</t>
  </si>
  <si>
    <t>Sales (ttm)</t>
  </si>
  <si>
    <t>Gross Profit (ttm)</t>
  </si>
  <si>
    <t>EBIT (ttm)</t>
  </si>
  <si>
    <t>Net Income (ttm)</t>
  </si>
  <si>
    <t>Diluted EPS (ttm)</t>
  </si>
  <si>
    <t>Interest Expense (ttm)</t>
  </si>
  <si>
    <t>D&amp;A (ttm)</t>
  </si>
  <si>
    <t>EBITDA (ttm)</t>
  </si>
  <si>
    <t xml:space="preserve">Republic Services </t>
  </si>
  <si>
    <t>RSG</t>
  </si>
  <si>
    <t>Waste Management</t>
  </si>
  <si>
    <t>WM</t>
  </si>
  <si>
    <t xml:space="preserve">Discounted Cash Flow Valuation </t>
  </si>
  <si>
    <t>Free Cash Flow to Firm</t>
  </si>
  <si>
    <t>FY 2018A</t>
  </si>
  <si>
    <t>FY 2019A</t>
  </si>
  <si>
    <t>FY 2020A</t>
  </si>
  <si>
    <t>FY 2023E</t>
  </si>
  <si>
    <t>FY 2024E</t>
  </si>
  <si>
    <t>FY 2025E</t>
  </si>
  <si>
    <t>FY 2026E</t>
  </si>
  <si>
    <t>FY 2027E</t>
  </si>
  <si>
    <t xml:space="preserve">EBIT </t>
  </si>
  <si>
    <t xml:space="preserve">Tax Rate </t>
  </si>
  <si>
    <t>NOPAT</t>
  </si>
  <si>
    <t>Plus: D&amp;A</t>
  </si>
  <si>
    <t>Less: △ NwC</t>
  </si>
  <si>
    <t xml:space="preserve">Less: Capex </t>
  </si>
  <si>
    <t>FCFF</t>
  </si>
  <si>
    <t xml:space="preserve">Discount Period </t>
  </si>
  <si>
    <t>Present Value of FCFF</t>
  </si>
  <si>
    <t xml:space="preserve">Perpetuity Growth Method </t>
  </si>
  <si>
    <t>Assumptions</t>
  </si>
  <si>
    <t>WACC</t>
  </si>
  <si>
    <t xml:space="preserve">Terminal Growth Rate </t>
  </si>
  <si>
    <t xml:space="preserve">% Weight Debt </t>
  </si>
  <si>
    <t>Terminal Value</t>
  </si>
  <si>
    <t xml:space="preserve">Cost of Debt </t>
  </si>
  <si>
    <t>2022 Cash</t>
  </si>
  <si>
    <t>PV of Terminal Value</t>
  </si>
  <si>
    <t xml:space="preserve">% 2022 Tax Rate </t>
  </si>
  <si>
    <t xml:space="preserve">2022 Debt </t>
  </si>
  <si>
    <t>Cumulative FCFF</t>
  </si>
  <si>
    <t xml:space="preserve">% Weight Equity </t>
  </si>
  <si>
    <t xml:space="preserve">2022 Net Debt </t>
  </si>
  <si>
    <t xml:space="preserve">Cost of Equity </t>
  </si>
  <si>
    <t xml:space="preserve">Less: Net Debt </t>
  </si>
  <si>
    <t xml:space="preserve">Beta </t>
  </si>
  <si>
    <t xml:space="preserve">Equity Value </t>
  </si>
  <si>
    <t>RFR</t>
  </si>
  <si>
    <t>MRP</t>
  </si>
  <si>
    <t>Market Cap</t>
  </si>
  <si>
    <t xml:space="preserve">Implied Share Price </t>
  </si>
  <si>
    <t xml:space="preserve">Plus: Net Debt  </t>
  </si>
  <si>
    <t>Sensitivity Analysis</t>
  </si>
  <si>
    <t>Terminal Growth Rate</t>
  </si>
  <si>
    <t>FY 2021A</t>
  </si>
  <si>
    <t>FY 2022A</t>
  </si>
  <si>
    <t xml:space="preserve">Change in Networking Capital </t>
  </si>
  <si>
    <t>Accounts receivable</t>
  </si>
  <si>
    <t>The University at Albany School of Business Investment Group</t>
  </si>
  <si>
    <t>Recommendation:</t>
  </si>
  <si>
    <t>Current Price:</t>
  </si>
  <si>
    <t>Stop Loss:</t>
  </si>
  <si>
    <t>Downside:</t>
  </si>
  <si>
    <t>52-Week High:</t>
  </si>
  <si>
    <t>% of 52-Week High:</t>
  </si>
  <si>
    <t>52-Week Low:</t>
  </si>
  <si>
    <t>% above 52-week low</t>
  </si>
  <si>
    <t xml:space="preserve">Net Debt </t>
  </si>
  <si>
    <t>Consolidated:</t>
  </si>
  <si>
    <t>Investment Thesis</t>
  </si>
  <si>
    <t>Fiscal Year:</t>
  </si>
  <si>
    <t>2021A</t>
  </si>
  <si>
    <t>2023E</t>
  </si>
  <si>
    <t>Total Revenue</t>
  </si>
  <si>
    <t>% Growth</t>
  </si>
  <si>
    <t>Catalysts &amp; Risks</t>
  </si>
  <si>
    <t>FY</t>
  </si>
  <si>
    <t>Ticker</t>
  </si>
  <si>
    <t>Company Description:</t>
  </si>
  <si>
    <t>Trading Data</t>
  </si>
  <si>
    <t>Beta Coefficient</t>
  </si>
  <si>
    <t xml:space="preserve">Valuation Summary </t>
  </si>
  <si>
    <t>PT</t>
  </si>
  <si>
    <t>Comparable</t>
  </si>
  <si>
    <t>2020A</t>
  </si>
  <si>
    <t>Current Valuation</t>
  </si>
  <si>
    <t>Earnings Estimates (Diluted)</t>
  </si>
  <si>
    <t>Consensus Estimates (Diluted)</t>
  </si>
  <si>
    <t>Current Peer Multiples</t>
  </si>
  <si>
    <t xml:space="preserve">Company </t>
  </si>
  <si>
    <t>MC</t>
  </si>
  <si>
    <t>Analyst: David Sanchez</t>
  </si>
  <si>
    <t>Sector: Waste Management</t>
  </si>
  <si>
    <t>Industry: Industrials</t>
  </si>
  <si>
    <t>NYSE: CLH</t>
  </si>
  <si>
    <t>DCF</t>
  </si>
  <si>
    <t>Total Cash Spent</t>
  </si>
  <si>
    <t>Quarterly Share Price Growth Rate</t>
  </si>
  <si>
    <t>Total Number Of Quarters Projected</t>
  </si>
  <si>
    <t>Cash Spent per Quarter</t>
  </si>
  <si>
    <t>Consolidated Upside</t>
  </si>
  <si>
    <t xml:space="preserve">Projected Share Price </t>
  </si>
  <si>
    <t>Total Remaining at Start of Proj.</t>
  </si>
  <si>
    <t>Approved Spending</t>
  </si>
  <si>
    <t>Starting S/O</t>
  </si>
  <si>
    <t>Inputs</t>
  </si>
  <si>
    <t>Tenure:</t>
  </si>
  <si>
    <t>Amount Approved:</t>
  </si>
  <si>
    <t>Details</t>
  </si>
  <si>
    <t>Shares Outstanding (In Thousands)</t>
  </si>
  <si>
    <t>Average Share Price</t>
  </si>
  <si>
    <t>Shares Bought Back (In Thousands)</t>
  </si>
  <si>
    <t>`</t>
  </si>
  <si>
    <t>Cash Spent (In Thousands)</t>
  </si>
  <si>
    <t>Q'4</t>
  </si>
  <si>
    <t>Q'3</t>
  </si>
  <si>
    <t>Q'2</t>
  </si>
  <si>
    <t>Q'1</t>
  </si>
  <si>
    <t>Quarter</t>
  </si>
  <si>
    <t>Projections</t>
  </si>
  <si>
    <t>Share Repurchase Program</t>
  </si>
  <si>
    <t>$600 Million</t>
  </si>
  <si>
    <t>Cash From Financing (CFF)</t>
  </si>
  <si>
    <t xml:space="preserve">Change in Current Portion </t>
  </si>
  <si>
    <t>Change in Long-Term Debt</t>
  </si>
  <si>
    <t>Total CFF</t>
  </si>
  <si>
    <t>1/1/2023 - 12/31/2027</t>
  </si>
  <si>
    <t>5 Year Cumulative Total Return - Assumes Initial Investment of $100 - December 2022</t>
  </si>
  <si>
    <t>Total Debt to EBITDA</t>
  </si>
  <si>
    <t>EV/EBITA</t>
  </si>
  <si>
    <t>Waste Connections</t>
  </si>
  <si>
    <t>WCN</t>
  </si>
  <si>
    <t xml:space="preserve"> Diluted Shares</t>
  </si>
  <si>
    <t>Current Portion % of EBITDA</t>
  </si>
  <si>
    <t xml:space="preserve">Assumptions </t>
  </si>
  <si>
    <t xml:space="preserve">Current Portion </t>
  </si>
  <si>
    <t>LTD</t>
  </si>
  <si>
    <t>Interest Expense</t>
  </si>
  <si>
    <t>Cost of Debt</t>
  </si>
  <si>
    <t>Q1</t>
  </si>
  <si>
    <t>Q2</t>
  </si>
  <si>
    <t>Q3</t>
  </si>
  <si>
    <t>Q4</t>
  </si>
  <si>
    <t xml:space="preserve"> FY</t>
  </si>
  <si>
    <t xml:space="preserve">Q1 </t>
  </si>
  <si>
    <t>2023 E</t>
  </si>
  <si>
    <t xml:space="preserve">Q2 </t>
  </si>
  <si>
    <t xml:space="preserve">Q3 </t>
  </si>
  <si>
    <t xml:space="preserve">FY </t>
  </si>
  <si>
    <t xml:space="preserve">Q4 </t>
  </si>
  <si>
    <t xml:space="preserve"> Q2 </t>
  </si>
  <si>
    <t xml:space="preserve"> Q3</t>
  </si>
  <si>
    <t>2025 E</t>
  </si>
  <si>
    <t xml:space="preserve"> FY </t>
  </si>
  <si>
    <t xml:space="preserve"> Q3 </t>
  </si>
  <si>
    <t>2022A</t>
  </si>
  <si>
    <t>Fundamental Analysis Summary</t>
  </si>
  <si>
    <t>2017 - 2022 CAGR</t>
  </si>
  <si>
    <t>2023  - 2027 CAGR</t>
  </si>
  <si>
    <t>P/E (FY22A)</t>
  </si>
  <si>
    <t>Forward P/E (FY23E)</t>
  </si>
  <si>
    <t>EV/EBITDA (FY22A)</t>
  </si>
  <si>
    <t>Forward EV/EBITDA (FY23E)</t>
  </si>
  <si>
    <t>EV/Sales (FY22A)</t>
  </si>
  <si>
    <t>Forward EV/Sales (FY23E)</t>
  </si>
  <si>
    <t>2024E</t>
  </si>
  <si>
    <t xml:space="preserve">Clean Harbors </t>
  </si>
  <si>
    <t xml:space="preserve">Waste Management </t>
  </si>
  <si>
    <t xml:space="preserve">Waste Connections </t>
  </si>
  <si>
    <t>lower</t>
  </si>
  <si>
    <t>diff</t>
  </si>
  <si>
    <t>upper</t>
  </si>
  <si>
    <t>52 week</t>
  </si>
  <si>
    <t xml:space="preserve">Historical </t>
  </si>
  <si>
    <t xml:space="preserve">Comparable </t>
  </si>
  <si>
    <t>Total COGS % revenue</t>
  </si>
  <si>
    <t xml:space="preserve">Service COGS % Service revenue </t>
  </si>
  <si>
    <t xml:space="preserve">Product COGS % Product revenue </t>
  </si>
  <si>
    <t xml:space="preserve">2022 Service Revenue </t>
  </si>
  <si>
    <t>Chemical</t>
  </si>
  <si>
    <t xml:space="preserve">General Manufacturing </t>
  </si>
  <si>
    <t xml:space="preserve">Refineries </t>
  </si>
  <si>
    <t>Base and Blended Oils</t>
  </si>
  <si>
    <t>Automotive</t>
  </si>
  <si>
    <t>Utilities</t>
  </si>
  <si>
    <t>Government</t>
  </si>
  <si>
    <t>Oil and Gas</t>
  </si>
  <si>
    <t>Transportation</t>
  </si>
  <si>
    <t xml:space="preserve">Retail </t>
  </si>
  <si>
    <t>Column1</t>
  </si>
  <si>
    <t>2022A Sales</t>
  </si>
  <si>
    <t xml:space="preserve">Veolia Environnement </t>
  </si>
  <si>
    <t>VEOEY</t>
  </si>
  <si>
    <t>Heritage-Crystal Clean</t>
  </si>
  <si>
    <t>HCCI</t>
  </si>
  <si>
    <t>Last updated: 4/27/2023</t>
  </si>
  <si>
    <t xml:space="preserve">Consolidated Price Target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</si>
</sst>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_(* #,##0.00_);_(* \(#,##0.00\);_(* &quot;-&quot;_);_(@_)"/>
    <numFmt numFmtId="166" formatCode="0.0\x"/>
    <numFmt numFmtId="167" formatCode="_(* #,##0_);_(* \(#,##0\);_(* &quot;-&quot;??_);_(@_)"/>
    <numFmt numFmtId="168" formatCode="0.00&quot;x&quot;"/>
    <numFmt numFmtId="169" formatCode="&quot;$&quot;#,##0.00"/>
    <numFmt numFmtId="170" formatCode="0.00\x"/>
    <numFmt numFmtId="171" formatCode="0.0000"/>
    <numFmt numFmtId="172" formatCode="#,##0.00&quot;B&quot;"/>
    <numFmt numFmtId="173" formatCode="_(* #,##0.0_);_(* \(#,##0.0\);_(* &quot;-&quot;_);_(@_)"/>
    <numFmt numFmtId="174" formatCode="&quot;$&quot;#,##0"/>
    <numFmt numFmtId="175" formatCode="&quot;$&quot;#,##0.00_);\(&quot;$&quot;#,##0.00\);@_)"/>
    <numFmt numFmtId="176" formatCode="&quot;$&quot;0.00&quot;B&quot;"/>
    <numFmt numFmtId="177" formatCode="0&quot;A&quot;"/>
    <numFmt numFmtId="178" formatCode="0&quot;E&quot;"/>
    <numFmt numFmtId="179" formatCode="&quot;+&quot;0.00\ &quot;bps&quot;"/>
    <numFmt numFmtId="180" formatCode="&quot;$&quot;#,##0_);\(&quot;$&quot;#,##0\);@_)"/>
    <numFmt numFmtId="181" formatCode="&quot;Q&quot;0"/>
    <numFmt numFmtId="182" formatCode="&quot;$&quot;0.00"/>
    <numFmt numFmtId="183" formatCode="0.00&quot;B&quot;"/>
    <numFmt numFmtId="184" formatCode="000.0&quot;B&quot;"/>
  </numFmts>
  <fonts count="53">
    <font>
      <sz val="11"/>
      <color theme="1"/>
      <name val="Calibri"/>
      <family val="2"/>
      <scheme val="minor"/>
    </font>
    <font>
      <b/>
      <u/>
      <sz val="11"/>
      <color theme="1"/>
      <name val="Calibri"/>
      <family val="2"/>
      <scheme val="minor"/>
    </font>
    <font>
      <sz val="11"/>
      <color theme="1"/>
      <name val="Calibri"/>
      <family val="2"/>
      <scheme val="minor"/>
    </font>
    <font>
      <i/>
      <sz val="9"/>
      <name val="Book Antiqua"/>
      <family val="1"/>
    </font>
    <font>
      <i/>
      <sz val="9"/>
      <color theme="1"/>
      <name val="Book Antiqua"/>
      <family val="1"/>
    </font>
    <font>
      <sz val="8"/>
      <name val="Calibri"/>
      <family val="2"/>
      <scheme val="minor"/>
    </font>
    <font>
      <sz val="9"/>
      <color theme="1"/>
      <name val="Book Antiqua"/>
      <family val="1"/>
    </font>
    <font>
      <sz val="11"/>
      <color theme="1"/>
      <name val="Book Antiqua"/>
      <family val="1"/>
    </font>
    <font>
      <b/>
      <sz val="11"/>
      <name val="Book Antiqua"/>
      <family val="1"/>
    </font>
    <font>
      <sz val="11"/>
      <name val="Book Antiqua"/>
      <family val="1"/>
    </font>
    <font>
      <b/>
      <u/>
      <sz val="11"/>
      <name val="Book Antiqua"/>
      <family val="1"/>
    </font>
    <font>
      <b/>
      <u/>
      <sz val="11"/>
      <color theme="1"/>
      <name val="Book Antiqua"/>
      <family val="1"/>
    </font>
    <font>
      <i/>
      <sz val="11"/>
      <color theme="1"/>
      <name val="Book Antiqua"/>
      <family val="1"/>
    </font>
    <font>
      <b/>
      <sz val="11"/>
      <color theme="0"/>
      <name val="Book Antiqua"/>
      <family val="1"/>
    </font>
    <font>
      <i/>
      <sz val="11"/>
      <name val="Book Antiqua"/>
      <family val="1"/>
    </font>
    <font>
      <u val="singleAccounting"/>
      <sz val="11"/>
      <name val="Book Antiqua"/>
      <family val="1"/>
    </font>
    <font>
      <b/>
      <sz val="11"/>
      <color theme="1"/>
      <name val="Book Antiqua"/>
      <family val="1"/>
    </font>
    <font>
      <sz val="11"/>
      <color rgb="FF0000FF"/>
      <name val="Book Antiqua"/>
      <family val="1"/>
    </font>
    <font>
      <u val="singleAccounting"/>
      <sz val="11"/>
      <color rgb="FF0000FF"/>
      <name val="Book Antiqua"/>
      <family val="1"/>
    </font>
    <font>
      <u val="singleAccounting"/>
      <sz val="11"/>
      <color theme="1"/>
      <name val="Book Antiqua"/>
      <family val="1"/>
    </font>
    <font>
      <b/>
      <u/>
      <sz val="11"/>
      <color rgb="FFC00000"/>
      <name val="Book Antiqua"/>
      <family val="1"/>
    </font>
    <font>
      <i/>
      <sz val="12"/>
      <color theme="1"/>
      <name val="Book Antiqua"/>
      <family val="1"/>
    </font>
    <font>
      <b/>
      <sz val="12"/>
      <name val="Book Antiqua"/>
      <family val="1"/>
    </font>
    <font>
      <b/>
      <sz val="9"/>
      <name val="Book Antiqua"/>
      <family val="1"/>
    </font>
    <font>
      <b/>
      <sz val="12"/>
      <color theme="0"/>
      <name val="Book Antiqua"/>
      <family val="1"/>
    </font>
    <font>
      <sz val="12"/>
      <color theme="0"/>
      <name val="Book Antiqua"/>
      <family val="1"/>
    </font>
    <font>
      <sz val="12"/>
      <color theme="1"/>
      <name val="Book Antiqua"/>
      <family val="1"/>
    </font>
    <font>
      <b/>
      <sz val="12"/>
      <color theme="1"/>
      <name val="Book Antiqua"/>
      <family val="1"/>
    </font>
    <font>
      <sz val="12"/>
      <name val="Book Antiqua"/>
      <family val="1"/>
    </font>
    <font>
      <sz val="11"/>
      <color rgb="FFFF0000"/>
      <name val="Book Antiqua"/>
      <family val="1"/>
    </font>
    <font>
      <sz val="11"/>
      <color theme="0"/>
      <name val="Book Antiqua"/>
      <family val="1"/>
    </font>
    <font>
      <i/>
      <sz val="11"/>
      <color theme="0"/>
      <name val="Book Antiqua"/>
      <family val="1"/>
    </font>
    <font>
      <b/>
      <sz val="10"/>
      <name val="Book Antiqua"/>
      <family val="1"/>
    </font>
    <font>
      <u/>
      <sz val="11"/>
      <color theme="1"/>
      <name val="Book Antiqua"/>
      <family val="1"/>
    </font>
    <font>
      <b/>
      <sz val="14"/>
      <color theme="1"/>
      <name val="Book Antiqua"/>
      <family val="1"/>
    </font>
    <font>
      <b/>
      <u/>
      <sz val="12"/>
      <color theme="1"/>
      <name val="Book Antiqua"/>
      <family val="1"/>
    </font>
    <font>
      <u/>
      <sz val="12"/>
      <color theme="1"/>
      <name val="Book Antiqua"/>
      <family val="1"/>
    </font>
    <font>
      <i/>
      <sz val="12"/>
      <name val="Book Antiqua"/>
      <family val="1"/>
    </font>
    <font>
      <i/>
      <sz val="12"/>
      <color theme="1" tint="0.499984740745262"/>
      <name val="Book Antiqua"/>
      <family val="1"/>
    </font>
    <font>
      <sz val="9"/>
      <color rgb="FF040E32"/>
      <name val="Campton"/>
    </font>
    <font>
      <b/>
      <sz val="11"/>
      <color rgb="FF009900"/>
      <name val="Book Antiqua"/>
      <family val="1"/>
    </font>
    <font>
      <b/>
      <sz val="11"/>
      <color rgb="FFC00000"/>
      <name val="Book Antiqua"/>
      <family val="1"/>
    </font>
    <font>
      <b/>
      <sz val="16"/>
      <color theme="0"/>
      <name val="Book Antiqua"/>
      <family val="1"/>
    </font>
    <font>
      <b/>
      <u/>
      <sz val="16"/>
      <color theme="0"/>
      <name val="Book Antiqua"/>
      <family val="1"/>
    </font>
    <font>
      <sz val="12"/>
      <color theme="1"/>
      <name val="Calibri"/>
      <family val="2"/>
      <scheme val="minor"/>
    </font>
    <font>
      <i/>
      <sz val="10"/>
      <color theme="1"/>
      <name val="Book Antiqua"/>
      <family val="1"/>
    </font>
    <font>
      <sz val="11"/>
      <name val="Calibri"/>
      <family val="2"/>
      <scheme val="minor"/>
    </font>
    <font>
      <b/>
      <i/>
      <sz val="12"/>
      <color theme="1" tint="0.499984740745262"/>
      <name val="Book Antiqua"/>
      <family val="1"/>
    </font>
    <font>
      <b/>
      <sz val="14"/>
      <color theme="0"/>
      <name val="Book Antiqua"/>
      <family val="1"/>
    </font>
    <font>
      <i/>
      <sz val="10"/>
      <name val="Book Antiqua"/>
      <family val="1"/>
    </font>
    <font>
      <b/>
      <u/>
      <sz val="11"/>
      <color theme="0"/>
      <name val="Book Antiqua"/>
      <family val="1"/>
    </font>
    <font>
      <sz val="11"/>
      <color theme="1"/>
      <name val="Calibri"/>
      <family val="2"/>
    </font>
    <font>
      <sz val="12"/>
      <color rgb="FF212121"/>
      <name val="Book Antiqua"/>
      <family val="1"/>
    </font>
  </fonts>
  <fills count="13">
    <fill>
      <patternFill patternType="none"/>
    </fill>
    <fill>
      <patternFill patternType="gray125"/>
    </fill>
    <fill>
      <patternFill patternType="solid">
        <fgColor rgb="FFCC0000"/>
        <bgColor indexed="64"/>
      </patternFill>
    </fill>
    <fill>
      <patternFill patternType="solid">
        <fgColor rgb="FFFFEBEB"/>
        <bgColor indexed="64"/>
      </patternFill>
    </fill>
    <fill>
      <patternFill patternType="solid">
        <fgColor rgb="FFFFFF00"/>
        <bgColor indexed="64"/>
      </patternFill>
    </fill>
    <fill>
      <patternFill patternType="solid">
        <fgColor rgb="FFC0000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5" tint="0.79998168889431442"/>
        <bgColor indexed="64"/>
      </patternFill>
    </fill>
  </fills>
  <borders count="51">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thick">
        <color indexed="64"/>
      </bottom>
      <diagonal/>
    </border>
    <border>
      <left style="medium">
        <color indexed="64"/>
      </left>
      <right style="medium">
        <color indexed="64"/>
      </right>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Dashed">
        <color indexed="64"/>
      </right>
      <top/>
      <bottom/>
      <diagonal/>
    </border>
    <border>
      <left/>
      <right style="mediumDashed">
        <color indexed="64"/>
      </right>
      <top/>
      <bottom style="medium">
        <color indexed="64"/>
      </bottom>
      <diagonal/>
    </border>
    <border>
      <left style="mediumDashed">
        <color indexed="64"/>
      </left>
      <right style="mediumDashed">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s>
  <cellStyleXfs count="4">
    <xf numFmtId="0" fontId="0"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cellStyleXfs>
  <cellXfs count="776">
    <xf numFmtId="0" fontId="0" fillId="0" borderId="0" xfId="0"/>
    <xf numFmtId="0" fontId="7" fillId="0" borderId="0" xfId="0" applyFont="1"/>
    <xf numFmtId="0" fontId="9" fillId="0" borderId="0" xfId="0" applyFont="1" applyAlignment="1">
      <alignment horizontal="center" vertical="center"/>
    </xf>
    <xf numFmtId="0" fontId="12" fillId="0" borderId="0" xfId="0" applyFont="1"/>
    <xf numFmtId="0" fontId="9" fillId="3" borderId="0" xfId="0" applyFont="1" applyFill="1" applyAlignment="1">
      <alignment vertical="top"/>
    </xf>
    <xf numFmtId="41" fontId="7" fillId="0" borderId="0" xfId="0" applyNumberFormat="1" applyFont="1"/>
    <xf numFmtId="41" fontId="12" fillId="0" borderId="0" xfId="0" applyNumberFormat="1" applyFont="1"/>
    <xf numFmtId="0" fontId="9" fillId="0" borderId="0" xfId="0" applyFont="1" applyAlignment="1">
      <alignment vertical="top"/>
    </xf>
    <xf numFmtId="41" fontId="9" fillId="0" borderId="0" xfId="0" applyNumberFormat="1" applyFont="1" applyAlignment="1">
      <alignment horizontal="right" vertical="top"/>
    </xf>
    <xf numFmtId="41" fontId="8" fillId="3" borderId="0" xfId="0" applyNumberFormat="1" applyFont="1" applyFill="1" applyAlignment="1">
      <alignment horizontal="right" vertical="top"/>
    </xf>
    <xf numFmtId="41" fontId="15" fillId="0" borderId="0" xfId="0" applyNumberFormat="1" applyFont="1" applyAlignment="1">
      <alignment horizontal="right" vertical="top"/>
    </xf>
    <xf numFmtId="41" fontId="8" fillId="0" borderId="0" xfId="0" applyNumberFormat="1" applyFont="1" applyAlignment="1">
      <alignment horizontal="right" vertical="top"/>
    </xf>
    <xf numFmtId="41" fontId="17" fillId="0" borderId="0" xfId="0" applyNumberFormat="1" applyFont="1" applyAlignment="1">
      <alignment horizontal="right" vertical="top"/>
    </xf>
    <xf numFmtId="41" fontId="18" fillId="0" borderId="0" xfId="0" applyNumberFormat="1" applyFont="1"/>
    <xf numFmtId="41" fontId="16" fillId="3" borderId="0" xfId="0" applyNumberFormat="1" applyFont="1" applyFill="1" applyAlignment="1">
      <alignment horizontal="right" vertical="top"/>
    </xf>
    <xf numFmtId="41" fontId="19" fillId="0" borderId="0" xfId="0" applyNumberFormat="1" applyFont="1"/>
    <xf numFmtId="41" fontId="9" fillId="0" borderId="0" xfId="0" applyNumberFormat="1" applyFont="1" applyAlignment="1">
      <alignment vertical="top"/>
    </xf>
    <xf numFmtId="7" fontId="17" fillId="0" borderId="0" xfId="0" applyNumberFormat="1" applyFont="1"/>
    <xf numFmtId="0" fontId="9" fillId="0" borderId="0" xfId="0" applyFont="1"/>
    <xf numFmtId="0" fontId="7" fillId="3" borderId="0" xfId="0" applyFont="1" applyFill="1"/>
    <xf numFmtId="0" fontId="16" fillId="3" borderId="0" xfId="0" applyFont="1" applyFill="1"/>
    <xf numFmtId="41" fontId="16" fillId="3" borderId="0" xfId="0" applyNumberFormat="1" applyFont="1" applyFill="1" applyAlignment="1">
      <alignment vertical="top"/>
    </xf>
    <xf numFmtId="41" fontId="6" fillId="0" borderId="0" xfId="0" applyNumberFormat="1" applyFont="1"/>
    <xf numFmtId="9" fontId="7" fillId="0" borderId="0" xfId="1" applyFont="1"/>
    <xf numFmtId="41" fontId="9" fillId="0" borderId="0" xfId="0" applyNumberFormat="1" applyFont="1"/>
    <xf numFmtId="7" fontId="9" fillId="0" borderId="0" xfId="0" applyNumberFormat="1" applyFont="1"/>
    <xf numFmtId="41" fontId="8" fillId="3" borderId="0" xfId="0" applyNumberFormat="1" applyFont="1" applyFill="1" applyAlignment="1">
      <alignment vertical="top"/>
    </xf>
    <xf numFmtId="41" fontId="16" fillId="3" borderId="0" xfId="0" applyNumberFormat="1" applyFont="1" applyFill="1"/>
    <xf numFmtId="0" fontId="16" fillId="0" borderId="0" xfId="0" applyFont="1"/>
    <xf numFmtId="41" fontId="16" fillId="0" borderId="0" xfId="0" applyNumberFormat="1" applyFont="1"/>
    <xf numFmtId="166" fontId="7" fillId="0" borderId="0" xfId="0" applyNumberFormat="1" applyFont="1"/>
    <xf numFmtId="0" fontId="8" fillId="0" borderId="0" xfId="0" applyFont="1"/>
    <xf numFmtId="166" fontId="16" fillId="0" borderId="0" xfId="0" applyNumberFormat="1" applyFont="1"/>
    <xf numFmtId="0" fontId="7" fillId="0" borderId="0" xfId="0" applyFont="1" applyAlignment="1">
      <alignment horizontal="left" indent="1"/>
    </xf>
    <xf numFmtId="0" fontId="0" fillId="0" borderId="0" xfId="0" applyAlignment="1">
      <alignment wrapText="1"/>
    </xf>
    <xf numFmtId="167" fontId="7" fillId="0" borderId="0" xfId="0" applyNumberFormat="1" applyFont="1"/>
    <xf numFmtId="37" fontId="7" fillId="0" borderId="0" xfId="0" applyNumberFormat="1" applyFont="1"/>
    <xf numFmtId="37" fontId="9" fillId="0" borderId="0" xfId="0" applyNumberFormat="1" applyFont="1"/>
    <xf numFmtId="0" fontId="23" fillId="0" borderId="0" xfId="0" applyFont="1" applyAlignment="1">
      <alignment vertical="top"/>
    </xf>
    <xf numFmtId="41" fontId="23" fillId="0" borderId="0" xfId="0" applyNumberFormat="1" applyFont="1" applyAlignment="1">
      <alignment horizontal="right" vertical="top"/>
    </xf>
    <xf numFmtId="167" fontId="9" fillId="6" borderId="0" xfId="2" applyNumberFormat="1" applyFont="1" applyFill="1" applyAlignment="1">
      <alignment horizontal="right" vertical="center"/>
    </xf>
    <xf numFmtId="169" fontId="9" fillId="6" borderId="11" xfId="2" applyNumberFormat="1" applyFont="1" applyFill="1" applyBorder="1" applyAlignment="1">
      <alignment horizontal="right" vertical="center"/>
    </xf>
    <xf numFmtId="169" fontId="9" fillId="6" borderId="10" xfId="2" applyNumberFormat="1" applyFont="1" applyFill="1" applyBorder="1" applyAlignment="1">
      <alignment horizontal="right" vertical="center"/>
    </xf>
    <xf numFmtId="0" fontId="7" fillId="6" borderId="7" xfId="0" applyFont="1" applyFill="1" applyBorder="1"/>
    <xf numFmtId="0" fontId="7" fillId="6" borderId="0" xfId="0" applyFont="1" applyFill="1" applyAlignment="1">
      <alignment wrapText="1"/>
    </xf>
    <xf numFmtId="0" fontId="7" fillId="0" borderId="0" xfId="0" applyFont="1" applyAlignment="1">
      <alignment wrapText="1"/>
    </xf>
    <xf numFmtId="43" fontId="7" fillId="0" borderId="0" xfId="0" applyNumberFormat="1" applyFont="1"/>
    <xf numFmtId="43" fontId="7" fillId="0" borderId="0" xfId="0" applyNumberFormat="1" applyFont="1" applyAlignment="1">
      <alignment wrapText="1"/>
    </xf>
    <xf numFmtId="2" fontId="7" fillId="6" borderId="8" xfId="0" applyNumberFormat="1" applyFont="1" applyFill="1" applyBorder="1"/>
    <xf numFmtId="10" fontId="7" fillId="6" borderId="8" xfId="1" applyNumberFormat="1" applyFont="1" applyFill="1" applyBorder="1"/>
    <xf numFmtId="0" fontId="7" fillId="6" borderId="9" xfId="0" applyFont="1" applyFill="1" applyBorder="1"/>
    <xf numFmtId="10" fontId="7" fillId="6" borderId="10" xfId="1" applyNumberFormat="1" applyFont="1" applyFill="1" applyBorder="1"/>
    <xf numFmtId="0" fontId="7" fillId="0" borderId="19" xfId="0" applyFont="1" applyBorder="1"/>
    <xf numFmtId="0" fontId="7" fillId="0" borderId="20" xfId="0" applyFont="1" applyBorder="1"/>
    <xf numFmtId="14" fontId="7" fillId="0" borderId="19" xfId="0" applyNumberFormat="1" applyFont="1" applyBorder="1"/>
    <xf numFmtId="10" fontId="7" fillId="0" borderId="20" xfId="1" applyNumberFormat="1" applyFont="1" applyBorder="1" applyAlignment="1"/>
    <xf numFmtId="14" fontId="7" fillId="0" borderId="21" xfId="0" applyNumberFormat="1" applyFont="1" applyBorder="1"/>
    <xf numFmtId="43" fontId="7" fillId="0" borderId="14" xfId="0" applyNumberFormat="1" applyFont="1" applyBorder="1"/>
    <xf numFmtId="10" fontId="7" fillId="0" borderId="22" xfId="1" applyNumberFormat="1" applyFont="1" applyBorder="1" applyAlignment="1"/>
    <xf numFmtId="0" fontId="7" fillId="0" borderId="19" xfId="0" applyFont="1" applyBorder="1" applyAlignment="1">
      <alignment wrapText="1"/>
    </xf>
    <xf numFmtId="14" fontId="7" fillId="0" borderId="19" xfId="0" applyNumberFormat="1" applyFont="1" applyBorder="1" applyAlignment="1">
      <alignment wrapText="1"/>
    </xf>
    <xf numFmtId="14" fontId="7" fillId="0" borderId="21" xfId="0" applyNumberFormat="1" applyFont="1" applyBorder="1" applyAlignment="1">
      <alignment wrapText="1"/>
    </xf>
    <xf numFmtId="43" fontId="7" fillId="0" borderId="14" xfId="0" applyNumberFormat="1" applyFont="1" applyBorder="1" applyAlignment="1">
      <alignment wrapText="1"/>
    </xf>
    <xf numFmtId="0" fontId="26" fillId="0" borderId="0" xfId="0" applyFont="1"/>
    <xf numFmtId="0" fontId="7" fillId="6" borderId="0" xfId="0" applyFont="1" applyFill="1"/>
    <xf numFmtId="167" fontId="9" fillId="6" borderId="6" xfId="2" applyNumberFormat="1" applyFont="1" applyFill="1" applyBorder="1" applyAlignment="1">
      <alignment horizontal="right" vertical="center"/>
    </xf>
    <xf numFmtId="0" fontId="32" fillId="7" borderId="13" xfId="0" applyFont="1" applyFill="1" applyBorder="1" applyAlignment="1">
      <alignment horizontal="center" vertical="center" wrapText="1"/>
    </xf>
    <xf numFmtId="0" fontId="8" fillId="6" borderId="0" xfId="0" applyFont="1" applyFill="1" applyAlignment="1">
      <alignment horizontal="center" vertical="top" wrapText="1"/>
    </xf>
    <xf numFmtId="0" fontId="32" fillId="6" borderId="0" xfId="0" applyFont="1" applyFill="1" applyAlignment="1">
      <alignment horizontal="center" vertical="center" wrapText="1"/>
    </xf>
    <xf numFmtId="0" fontId="7" fillId="6" borderId="11" xfId="0" applyFont="1" applyFill="1" applyBorder="1" applyAlignment="1">
      <alignment wrapText="1"/>
    </xf>
    <xf numFmtId="0" fontId="7" fillId="6" borderId="6" xfId="0" applyFont="1" applyFill="1" applyBorder="1" applyAlignment="1">
      <alignment wrapText="1"/>
    </xf>
    <xf numFmtId="0" fontId="7" fillId="7" borderId="12" xfId="0" applyFont="1" applyFill="1" applyBorder="1" applyAlignment="1">
      <alignment wrapText="1"/>
    </xf>
    <xf numFmtId="0" fontId="7" fillId="6" borderId="8" xfId="0" applyFont="1" applyFill="1" applyBorder="1" applyAlignment="1">
      <alignment wrapText="1"/>
    </xf>
    <xf numFmtId="0" fontId="7" fillId="7" borderId="13" xfId="0" applyFont="1" applyFill="1" applyBorder="1" applyAlignment="1">
      <alignment wrapText="1"/>
    </xf>
    <xf numFmtId="0" fontId="29" fillId="6" borderId="0" xfId="0" applyFont="1" applyFill="1" applyAlignment="1">
      <alignment wrapText="1"/>
    </xf>
    <xf numFmtId="0" fontId="0" fillId="6" borderId="0" xfId="0" applyFill="1" applyAlignment="1">
      <alignment wrapText="1"/>
    </xf>
    <xf numFmtId="0" fontId="29" fillId="6" borderId="0" xfId="0" applyFont="1" applyFill="1" applyAlignment="1">
      <alignment horizontal="center" wrapText="1"/>
    </xf>
    <xf numFmtId="0" fontId="7" fillId="6" borderId="10" xfId="0" applyFont="1" applyFill="1" applyBorder="1" applyAlignment="1">
      <alignment wrapText="1"/>
    </xf>
    <xf numFmtId="0" fontId="7" fillId="7" borderId="15" xfId="0" applyFont="1" applyFill="1" applyBorder="1" applyAlignment="1">
      <alignment wrapText="1"/>
    </xf>
    <xf numFmtId="0" fontId="16" fillId="6" borderId="0" xfId="0" applyFont="1" applyFill="1" applyAlignment="1">
      <alignment horizontal="center" wrapText="1"/>
    </xf>
    <xf numFmtId="0" fontId="8" fillId="7" borderId="13" xfId="0" applyFont="1" applyFill="1" applyBorder="1" applyAlignment="1">
      <alignment horizontal="center" wrapText="1"/>
    </xf>
    <xf numFmtId="0" fontId="9" fillId="6" borderId="0" xfId="0" applyFont="1" applyFill="1" applyAlignment="1">
      <alignment horizontal="center" wrapText="1"/>
    </xf>
    <xf numFmtId="0" fontId="16" fillId="6" borderId="0" xfId="0" applyFont="1" applyFill="1" applyAlignment="1">
      <alignment horizontal="center" vertical="center" wrapText="1"/>
    </xf>
    <xf numFmtId="172" fontId="16" fillId="7" borderId="13" xfId="0" applyNumberFormat="1" applyFont="1" applyFill="1" applyBorder="1" applyAlignment="1">
      <alignment horizontal="center" wrapText="1"/>
    </xf>
    <xf numFmtId="172" fontId="7" fillId="6" borderId="0" xfId="0" applyNumberFormat="1" applyFont="1" applyFill="1" applyAlignment="1">
      <alignment horizontal="center" wrapText="1"/>
    </xf>
    <xf numFmtId="169" fontId="16" fillId="7" borderId="13" xfId="0" applyNumberFormat="1" applyFont="1" applyFill="1" applyBorder="1" applyAlignment="1">
      <alignment horizontal="center" wrapText="1"/>
    </xf>
    <xf numFmtId="169" fontId="7" fillId="6" borderId="0" xfId="0" applyNumberFormat="1" applyFont="1" applyFill="1" applyAlignment="1">
      <alignment horizontal="center" wrapText="1"/>
    </xf>
    <xf numFmtId="0" fontId="16" fillId="7" borderId="13" xfId="0" applyFont="1" applyFill="1" applyBorder="1" applyAlignment="1">
      <alignment wrapText="1"/>
    </xf>
    <xf numFmtId="0" fontId="16" fillId="7" borderId="15" xfId="0" applyFont="1" applyFill="1" applyBorder="1" applyAlignment="1">
      <alignment wrapText="1"/>
    </xf>
    <xf numFmtId="166" fontId="7" fillId="6" borderId="0" xfId="0" applyNumberFormat="1" applyFont="1" applyFill="1" applyAlignment="1">
      <alignment horizontal="center" wrapText="1"/>
    </xf>
    <xf numFmtId="166" fontId="16" fillId="7" borderId="13" xfId="0" applyNumberFormat="1" applyFont="1" applyFill="1" applyBorder="1" applyAlignment="1">
      <alignment horizontal="center" wrapText="1"/>
    </xf>
    <xf numFmtId="164" fontId="16" fillId="7" borderId="13" xfId="1" applyNumberFormat="1" applyFont="1" applyFill="1" applyBorder="1" applyAlignment="1">
      <alignment horizontal="center" wrapText="1"/>
    </xf>
    <xf numFmtId="164" fontId="7" fillId="6" borderId="0" xfId="1" applyNumberFormat="1" applyFont="1" applyFill="1" applyAlignment="1">
      <alignment horizontal="center" wrapText="1"/>
    </xf>
    <xf numFmtId="164" fontId="7" fillId="6" borderId="0" xfId="1" applyNumberFormat="1" applyFont="1" applyFill="1" applyBorder="1" applyAlignment="1">
      <alignment horizontal="center" wrapText="1"/>
    </xf>
    <xf numFmtId="164" fontId="7" fillId="6" borderId="0" xfId="0" applyNumberFormat="1" applyFont="1" applyFill="1" applyAlignment="1">
      <alignment horizontal="center" wrapText="1"/>
    </xf>
    <xf numFmtId="164" fontId="16" fillId="7" borderId="15" xfId="1" applyNumberFormat="1" applyFont="1" applyFill="1" applyBorder="1" applyAlignment="1">
      <alignment horizontal="center" wrapText="1"/>
    </xf>
    <xf numFmtId="164" fontId="7" fillId="6" borderId="9" xfId="1" applyNumberFormat="1" applyFont="1" applyFill="1" applyBorder="1" applyAlignment="1">
      <alignment horizontal="center" wrapText="1"/>
    </xf>
    <xf numFmtId="164" fontId="7" fillId="6" borderId="11" xfId="1" applyNumberFormat="1" applyFont="1" applyFill="1" applyBorder="1" applyAlignment="1">
      <alignment horizontal="center" wrapText="1"/>
    </xf>
    <xf numFmtId="164" fontId="7" fillId="6" borderId="11" xfId="0" applyNumberFormat="1" applyFont="1" applyFill="1" applyBorder="1" applyAlignment="1">
      <alignment horizontal="center" wrapText="1"/>
    </xf>
    <xf numFmtId="166" fontId="16" fillId="7" borderId="13" xfId="1" applyNumberFormat="1" applyFont="1" applyFill="1" applyBorder="1" applyAlignment="1">
      <alignment horizontal="center" wrapText="1"/>
    </xf>
    <xf numFmtId="166" fontId="7" fillId="6" borderId="0" xfId="1" applyNumberFormat="1" applyFont="1" applyFill="1" applyBorder="1" applyAlignment="1">
      <alignment horizontal="center" wrapText="1"/>
    </xf>
    <xf numFmtId="0" fontId="7" fillId="6" borderId="5" xfId="0" applyFont="1" applyFill="1" applyBorder="1" applyAlignment="1">
      <alignment wrapText="1"/>
    </xf>
    <xf numFmtId="0" fontId="16" fillId="7" borderId="23" xfId="0" applyFont="1" applyFill="1" applyBorder="1" applyAlignment="1">
      <alignment wrapText="1"/>
    </xf>
    <xf numFmtId="0" fontId="7" fillId="7" borderId="23" xfId="0" applyFont="1" applyFill="1" applyBorder="1" applyAlignment="1">
      <alignment wrapText="1"/>
    </xf>
    <xf numFmtId="0" fontId="16" fillId="6" borderId="0" xfId="0" applyFont="1" applyFill="1" applyAlignment="1">
      <alignment wrapText="1"/>
    </xf>
    <xf numFmtId="0" fontId="7" fillId="6" borderId="27" xfId="0" applyFont="1" applyFill="1" applyBorder="1" applyAlignment="1">
      <alignment wrapText="1"/>
    </xf>
    <xf numFmtId="0" fontId="7" fillId="6" borderId="23" xfId="0" applyFont="1" applyFill="1" applyBorder="1" applyAlignment="1">
      <alignment wrapText="1"/>
    </xf>
    <xf numFmtId="169" fontId="29" fillId="0" borderId="24" xfId="0" applyNumberFormat="1" applyFont="1" applyBorder="1" applyAlignment="1">
      <alignment wrapText="1"/>
    </xf>
    <xf numFmtId="0" fontId="7" fillId="0" borderId="0" xfId="0" applyFont="1" applyAlignment="1">
      <alignment horizontal="left" wrapText="1"/>
    </xf>
    <xf numFmtId="41" fontId="18" fillId="11" borderId="26" xfId="0" applyNumberFormat="1" applyFont="1" applyFill="1" applyBorder="1" applyAlignment="1">
      <alignment horizontal="right" wrapText="1"/>
    </xf>
    <xf numFmtId="41" fontId="18" fillId="0" borderId="0" xfId="0" applyNumberFormat="1" applyFont="1" applyAlignment="1">
      <alignment horizontal="right" wrapText="1"/>
    </xf>
    <xf numFmtId="0" fontId="9" fillId="7" borderId="27" xfId="0" applyFont="1" applyFill="1" applyBorder="1" applyAlignment="1">
      <alignment wrapText="1"/>
    </xf>
    <xf numFmtId="0" fontId="9" fillId="7" borderId="23" xfId="0" applyFont="1" applyFill="1" applyBorder="1" applyAlignment="1">
      <alignment wrapText="1"/>
    </xf>
    <xf numFmtId="174" fontId="29" fillId="7" borderId="24" xfId="0" applyNumberFormat="1" applyFont="1" applyFill="1" applyBorder="1" applyAlignment="1">
      <alignment wrapText="1"/>
    </xf>
    <xf numFmtId="0" fontId="16" fillId="8" borderId="23" xfId="0" applyFont="1" applyFill="1" applyBorder="1" applyAlignment="1">
      <alignment wrapText="1"/>
    </xf>
    <xf numFmtId="41" fontId="16" fillId="8" borderId="23" xfId="0" applyNumberFormat="1" applyFont="1" applyFill="1" applyBorder="1" applyAlignment="1">
      <alignment horizontal="right" wrapText="1"/>
    </xf>
    <xf numFmtId="174" fontId="29" fillId="0" borderId="24" xfId="0" applyNumberFormat="1" applyFont="1" applyBorder="1" applyAlignment="1">
      <alignment wrapText="1"/>
    </xf>
    <xf numFmtId="41" fontId="17" fillId="11" borderId="28" xfId="0" applyNumberFormat="1" applyFont="1" applyFill="1" applyBorder="1" applyAlignment="1">
      <alignment wrapText="1"/>
    </xf>
    <xf numFmtId="41" fontId="17" fillId="0" borderId="0" xfId="0" applyNumberFormat="1" applyFont="1" applyAlignment="1">
      <alignment wrapText="1"/>
    </xf>
    <xf numFmtId="41" fontId="18" fillId="11" borderId="26" xfId="0" applyNumberFormat="1" applyFont="1" applyFill="1" applyBorder="1" applyAlignment="1">
      <alignment wrapText="1"/>
    </xf>
    <xf numFmtId="41" fontId="18" fillId="0" borderId="0" xfId="0" applyNumberFormat="1" applyFont="1" applyAlignment="1">
      <alignment wrapText="1"/>
    </xf>
    <xf numFmtId="174" fontId="9" fillId="0" borderId="24" xfId="0" applyNumberFormat="1" applyFont="1" applyBorder="1" applyAlignment="1">
      <alignment wrapText="1"/>
    </xf>
    <xf numFmtId="41" fontId="16" fillId="8" borderId="23" xfId="0" applyNumberFormat="1" applyFont="1" applyFill="1" applyBorder="1" applyAlignment="1">
      <alignment wrapText="1"/>
    </xf>
    <xf numFmtId="174" fontId="9" fillId="7" borderId="24" xfId="0" applyNumberFormat="1" applyFont="1" applyFill="1" applyBorder="1" applyAlignment="1">
      <alignment wrapText="1"/>
    </xf>
    <xf numFmtId="41" fontId="17" fillId="6" borderId="28" xfId="0" applyNumberFormat="1" applyFont="1" applyFill="1" applyBorder="1" applyAlignment="1">
      <alignment wrapText="1"/>
    </xf>
    <xf numFmtId="41" fontId="17" fillId="6" borderId="0" xfId="0" applyNumberFormat="1" applyFont="1" applyFill="1" applyAlignment="1">
      <alignment wrapText="1"/>
    </xf>
    <xf numFmtId="0" fontId="9" fillId="0" borderId="27" xfId="0" applyFont="1" applyBorder="1" applyAlignment="1">
      <alignment wrapText="1"/>
    </xf>
    <xf numFmtId="0" fontId="9" fillId="0" borderId="23" xfId="0" applyFont="1" applyBorder="1" applyAlignment="1">
      <alignment wrapText="1"/>
    </xf>
    <xf numFmtId="43" fontId="9" fillId="0" borderId="24" xfId="2" applyFont="1" applyBorder="1" applyAlignment="1">
      <alignment wrapText="1"/>
    </xf>
    <xf numFmtId="41" fontId="7" fillId="6" borderId="0" xfId="0" applyNumberFormat="1" applyFont="1" applyFill="1" applyAlignment="1">
      <alignment wrapText="1"/>
    </xf>
    <xf numFmtId="41" fontId="7" fillId="7" borderId="29" xfId="0" applyNumberFormat="1" applyFont="1" applyFill="1" applyBorder="1" applyAlignment="1">
      <alignment wrapText="1"/>
    </xf>
    <xf numFmtId="41" fontId="7" fillId="6" borderId="24" xfId="0" applyNumberFormat="1" applyFont="1" applyFill="1" applyBorder="1" applyAlignment="1">
      <alignment wrapText="1"/>
    </xf>
    <xf numFmtId="41" fontId="7" fillId="6" borderId="26" xfId="0" applyNumberFormat="1" applyFont="1" applyFill="1" applyBorder="1" applyAlignment="1">
      <alignment wrapText="1"/>
    </xf>
    <xf numFmtId="44" fontId="17" fillId="11" borderId="24" xfId="0" applyNumberFormat="1" applyFont="1" applyFill="1" applyBorder="1" applyAlignment="1">
      <alignment horizontal="right" wrapText="1"/>
    </xf>
    <xf numFmtId="44" fontId="17" fillId="0" borderId="0" xfId="0" applyNumberFormat="1" applyFont="1" applyAlignment="1">
      <alignment horizontal="right" wrapText="1"/>
    </xf>
    <xf numFmtId="0" fontId="7" fillId="5" borderId="23" xfId="0" applyFont="1" applyFill="1" applyBorder="1" applyAlignment="1">
      <alignment wrapText="1"/>
    </xf>
    <xf numFmtId="44" fontId="7" fillId="6" borderId="24" xfId="3" applyFont="1" applyFill="1" applyBorder="1" applyAlignment="1">
      <alignment wrapText="1"/>
    </xf>
    <xf numFmtId="0" fontId="11" fillId="6" borderId="0" xfId="0" applyFont="1" applyFill="1" applyAlignment="1">
      <alignment horizontal="right" wrapText="1"/>
    </xf>
    <xf numFmtId="164" fontId="33" fillId="6" borderId="0" xfId="1" applyNumberFormat="1" applyFont="1" applyFill="1" applyBorder="1" applyAlignment="1">
      <alignment wrapText="1"/>
    </xf>
    <xf numFmtId="164" fontId="33" fillId="6" borderId="0" xfId="1" applyNumberFormat="1" applyFont="1" applyFill="1" applyAlignment="1">
      <alignment wrapText="1"/>
    </xf>
    <xf numFmtId="0" fontId="16" fillId="6" borderId="23" xfId="0" applyFont="1" applyFill="1" applyBorder="1" applyAlignment="1">
      <alignment wrapText="1"/>
    </xf>
    <xf numFmtId="41" fontId="16" fillId="6" borderId="23" xfId="0" applyNumberFormat="1" applyFont="1" applyFill="1" applyBorder="1" applyAlignment="1">
      <alignment wrapText="1"/>
    </xf>
    <xf numFmtId="43" fontId="7" fillId="6" borderId="0" xfId="0" applyNumberFormat="1" applyFont="1" applyFill="1" applyAlignment="1">
      <alignment horizontal="left" wrapText="1"/>
    </xf>
    <xf numFmtId="167" fontId="7" fillId="6" borderId="0" xfId="0" applyNumberFormat="1" applyFont="1" applyFill="1" applyAlignment="1">
      <alignment horizontal="left" wrapText="1"/>
    </xf>
    <xf numFmtId="41" fontId="16" fillId="6" borderId="0" xfId="0" applyNumberFormat="1" applyFont="1" applyFill="1" applyAlignment="1">
      <alignment wrapText="1"/>
    </xf>
    <xf numFmtId="173" fontId="7" fillId="6" borderId="0" xfId="0" applyNumberFormat="1" applyFont="1" applyFill="1" applyAlignment="1">
      <alignment wrapText="1"/>
    </xf>
    <xf numFmtId="41" fontId="7" fillId="6" borderId="23" xfId="0" applyNumberFormat="1" applyFont="1" applyFill="1" applyBorder="1" applyAlignment="1">
      <alignment wrapText="1"/>
    </xf>
    <xf numFmtId="169" fontId="30" fillId="6" borderId="0" xfId="0" applyNumberFormat="1" applyFont="1" applyFill="1" applyAlignment="1">
      <alignment wrapText="1"/>
    </xf>
    <xf numFmtId="10" fontId="7" fillId="7" borderId="3" xfId="1" applyNumberFormat="1" applyFont="1" applyFill="1" applyBorder="1" applyAlignment="1">
      <alignment wrapText="1"/>
    </xf>
    <xf numFmtId="10" fontId="7" fillId="7" borderId="1" xfId="1" applyNumberFormat="1" applyFont="1" applyFill="1" applyBorder="1" applyAlignment="1">
      <alignment wrapText="1"/>
    </xf>
    <xf numFmtId="10" fontId="7" fillId="7" borderId="2" xfId="1" applyNumberFormat="1" applyFont="1" applyFill="1" applyBorder="1" applyAlignment="1">
      <alignment wrapText="1"/>
    </xf>
    <xf numFmtId="10" fontId="7" fillId="7" borderId="12" xfId="1" applyNumberFormat="1" applyFont="1" applyFill="1" applyBorder="1" applyAlignment="1">
      <alignment wrapText="1"/>
    </xf>
    <xf numFmtId="2" fontId="7" fillId="6" borderId="4" xfId="0" applyNumberFormat="1" applyFont="1" applyFill="1" applyBorder="1" applyAlignment="1">
      <alignment horizontal="center" wrapText="1"/>
    </xf>
    <xf numFmtId="2" fontId="7" fillId="6" borderId="5" xfId="0" applyNumberFormat="1" applyFont="1" applyFill="1" applyBorder="1" applyAlignment="1">
      <alignment horizontal="center" wrapText="1"/>
    </xf>
    <xf numFmtId="2" fontId="7" fillId="6" borderId="6" xfId="0" applyNumberFormat="1" applyFont="1" applyFill="1" applyBorder="1" applyAlignment="1">
      <alignment horizontal="center" wrapText="1"/>
    </xf>
    <xf numFmtId="10" fontId="7" fillId="7" borderId="13" xfId="1" applyNumberFormat="1" applyFont="1" applyFill="1" applyBorder="1" applyAlignment="1">
      <alignment wrapText="1"/>
    </xf>
    <xf numFmtId="2" fontId="7" fillId="6" borderId="7" xfId="0" applyNumberFormat="1" applyFont="1" applyFill="1" applyBorder="1" applyAlignment="1">
      <alignment horizontal="center" wrapText="1"/>
    </xf>
    <xf numFmtId="2" fontId="7" fillId="6" borderId="8" xfId="0" applyNumberFormat="1" applyFont="1" applyFill="1" applyBorder="1" applyAlignment="1">
      <alignment horizontal="center" wrapText="1"/>
    </xf>
    <xf numFmtId="2" fontId="7" fillId="6" borderId="31" xfId="0" applyNumberFormat="1" applyFont="1" applyFill="1" applyBorder="1" applyAlignment="1">
      <alignment horizontal="center" wrapText="1"/>
    </xf>
    <xf numFmtId="2" fontId="7" fillId="6" borderId="9" xfId="0" applyNumberFormat="1" applyFont="1" applyFill="1" applyBorder="1" applyAlignment="1">
      <alignment horizontal="center" wrapText="1"/>
    </xf>
    <xf numFmtId="2" fontId="7" fillId="6" borderId="11" xfId="0" applyNumberFormat="1" applyFont="1" applyFill="1" applyBorder="1" applyAlignment="1">
      <alignment horizontal="center" wrapText="1"/>
    </xf>
    <xf numFmtId="2" fontId="7" fillId="6" borderId="10" xfId="0" applyNumberFormat="1" applyFont="1" applyFill="1" applyBorder="1" applyAlignment="1">
      <alignment horizontal="center" wrapText="1"/>
    </xf>
    <xf numFmtId="10" fontId="7" fillId="7" borderId="15" xfId="1" applyNumberFormat="1" applyFont="1" applyFill="1" applyBorder="1" applyAlignment="1">
      <alignment wrapText="1"/>
    </xf>
    <xf numFmtId="0" fontId="16" fillId="6" borderId="23" xfId="0" applyFont="1" applyFill="1" applyBorder="1"/>
    <xf numFmtId="0" fontId="7" fillId="6" borderId="23" xfId="0" applyFont="1" applyFill="1" applyBorder="1"/>
    <xf numFmtId="164" fontId="7" fillId="6" borderId="0" xfId="0" applyNumberFormat="1" applyFont="1" applyFill="1"/>
    <xf numFmtId="10" fontId="7" fillId="6" borderId="0" xfId="0" applyNumberFormat="1" applyFont="1" applyFill="1"/>
    <xf numFmtId="164" fontId="17" fillId="6" borderId="0" xfId="0" applyNumberFormat="1" applyFont="1" applyFill="1"/>
    <xf numFmtId="41" fontId="7" fillId="6" borderId="0" xfId="0" applyNumberFormat="1" applyFont="1" applyFill="1"/>
    <xf numFmtId="165" fontId="7" fillId="6" borderId="0" xfId="0" applyNumberFormat="1" applyFont="1" applyFill="1"/>
    <xf numFmtId="41" fontId="16" fillId="6" borderId="23" xfId="0" applyNumberFormat="1" applyFont="1" applyFill="1" applyBorder="1"/>
    <xf numFmtId="0" fontId="16" fillId="6" borderId="0" xfId="0" applyFont="1" applyFill="1"/>
    <xf numFmtId="43" fontId="16" fillId="6" borderId="0" xfId="0" applyNumberFormat="1" applyFont="1" applyFill="1"/>
    <xf numFmtId="0" fontId="7" fillId="6" borderId="0" xfId="0" applyFont="1" applyFill="1" applyAlignment="1">
      <alignment horizontal="left"/>
    </xf>
    <xf numFmtId="2" fontId="9" fillId="6" borderId="0" xfId="0" applyNumberFormat="1" applyFont="1" applyFill="1"/>
    <xf numFmtId="43" fontId="16" fillId="6" borderId="23" xfId="0" applyNumberFormat="1" applyFont="1" applyFill="1" applyBorder="1"/>
    <xf numFmtId="10" fontId="17" fillId="6" borderId="0" xfId="0" applyNumberFormat="1" applyFont="1" applyFill="1"/>
    <xf numFmtId="0" fontId="7" fillId="6" borderId="0" xfId="0" applyFont="1" applyFill="1" applyAlignment="1">
      <alignment horizontal="left" indent="1"/>
    </xf>
    <xf numFmtId="10" fontId="16" fillId="6" borderId="23" xfId="1" applyNumberFormat="1" applyFont="1" applyFill="1" applyBorder="1" applyAlignment="1"/>
    <xf numFmtId="0" fontId="24" fillId="5" borderId="23" xfId="0" applyFont="1" applyFill="1" applyBorder="1" applyAlignment="1">
      <alignment wrapText="1"/>
    </xf>
    <xf numFmtId="10" fontId="7" fillId="0" borderId="0" xfId="1" applyNumberFormat="1" applyFont="1" applyBorder="1" applyAlignment="1">
      <alignment horizontal="center" vertical="center" wrapText="1"/>
    </xf>
    <xf numFmtId="0" fontId="7" fillId="0" borderId="32" xfId="0" applyFont="1" applyBorder="1" applyAlignment="1">
      <alignment wrapText="1"/>
    </xf>
    <xf numFmtId="0" fontId="7" fillId="0" borderId="33" xfId="0" applyFont="1" applyBorder="1" applyAlignment="1">
      <alignment wrapText="1"/>
    </xf>
    <xf numFmtId="10" fontId="26" fillId="0" borderId="0" xfId="1" applyNumberFormat="1" applyFont="1" applyBorder="1" applyAlignment="1">
      <alignment horizontal="right" wrapText="1"/>
    </xf>
    <xf numFmtId="169" fontId="26" fillId="0" borderId="0" xfId="3" applyNumberFormat="1" applyFont="1" applyBorder="1" applyAlignment="1">
      <alignment horizontal="right" wrapText="1"/>
    </xf>
    <xf numFmtId="169" fontId="28" fillId="0" borderId="0" xfId="3" applyNumberFormat="1" applyFont="1" applyBorder="1" applyAlignment="1">
      <alignment horizontal="right" wrapText="1"/>
    </xf>
    <xf numFmtId="44" fontId="26" fillId="0" borderId="0" xfId="3" applyFont="1" applyBorder="1" applyAlignment="1">
      <alignment horizontal="right" wrapText="1"/>
    </xf>
    <xf numFmtId="9" fontId="26" fillId="0" borderId="0" xfId="1" applyFont="1" applyBorder="1" applyAlignment="1">
      <alignment horizontal="right" wrapText="1"/>
    </xf>
    <xf numFmtId="43" fontId="26" fillId="0" borderId="0" xfId="2" applyFont="1" applyBorder="1" applyAlignment="1">
      <alignment horizontal="right" wrapText="1"/>
    </xf>
    <xf numFmtId="164" fontId="21" fillId="0" borderId="0" xfId="1" applyNumberFormat="1" applyFont="1" applyBorder="1" applyAlignment="1">
      <alignment horizontal="right" wrapText="1"/>
    </xf>
    <xf numFmtId="167" fontId="26" fillId="0" borderId="0" xfId="2" applyNumberFormat="1" applyFont="1" applyBorder="1" applyAlignment="1">
      <alignment wrapText="1"/>
    </xf>
    <xf numFmtId="169" fontId="26" fillId="0" borderId="0" xfId="3" applyNumberFormat="1" applyFont="1" applyBorder="1" applyAlignment="1">
      <alignment horizontal="center" wrapText="1"/>
    </xf>
    <xf numFmtId="164" fontId="37" fillId="0" borderId="0" xfId="1" applyNumberFormat="1" applyFont="1" applyBorder="1" applyAlignment="1">
      <alignment horizontal="right" wrapText="1"/>
    </xf>
    <xf numFmtId="9" fontId="38" fillId="0" borderId="0" xfId="1" applyFont="1" applyBorder="1" applyAlignment="1">
      <alignment horizontal="right" wrapText="1"/>
    </xf>
    <xf numFmtId="9" fontId="21" fillId="0" borderId="0" xfId="1" applyFont="1" applyBorder="1" applyAlignment="1">
      <alignment horizontal="right" wrapText="1"/>
    </xf>
    <xf numFmtId="9" fontId="26" fillId="0" borderId="0" xfId="1" applyFont="1" applyBorder="1" applyAlignment="1">
      <alignment horizontal="center" wrapText="1"/>
    </xf>
    <xf numFmtId="0" fontId="26" fillId="6" borderId="0" xfId="0" applyFont="1" applyFill="1" applyAlignment="1">
      <alignment horizontal="centerContinuous" wrapText="1"/>
    </xf>
    <xf numFmtId="0" fontId="7" fillId="0" borderId="34" xfId="0" applyFont="1" applyBorder="1" applyAlignment="1">
      <alignment wrapText="1"/>
    </xf>
    <xf numFmtId="0" fontId="16" fillId="4" borderId="23" xfId="0" applyFont="1" applyFill="1" applyBorder="1"/>
    <xf numFmtId="0" fontId="7" fillId="4" borderId="23" xfId="0" applyFont="1" applyFill="1" applyBorder="1"/>
    <xf numFmtId="169" fontId="16" fillId="4" borderId="23" xfId="3" applyNumberFormat="1" applyFont="1" applyFill="1" applyBorder="1" applyAlignment="1"/>
    <xf numFmtId="0" fontId="16" fillId="4" borderId="27" xfId="0" applyFont="1" applyFill="1" applyBorder="1" applyAlignment="1">
      <alignment horizontal="left"/>
    </xf>
    <xf numFmtId="10" fontId="16" fillId="4" borderId="30" xfId="1" applyNumberFormat="1" applyFont="1" applyFill="1" applyBorder="1" applyAlignment="1"/>
    <xf numFmtId="0" fontId="7" fillId="4" borderId="11" xfId="0" applyFont="1" applyFill="1" applyBorder="1" applyAlignment="1">
      <alignment wrapText="1"/>
    </xf>
    <xf numFmtId="169" fontId="8" fillId="4" borderId="0" xfId="0" applyNumberFormat="1" applyFont="1" applyFill="1" applyAlignment="1">
      <alignment horizontal="center" wrapText="1"/>
    </xf>
    <xf numFmtId="10" fontId="16" fillId="4" borderId="10" xfId="1" applyNumberFormat="1" applyFont="1" applyFill="1" applyBorder="1" applyAlignment="1">
      <alignment horizontal="center" wrapText="1"/>
    </xf>
    <xf numFmtId="0" fontId="16" fillId="4" borderId="0" xfId="0" applyFont="1" applyFill="1" applyAlignment="1">
      <alignment wrapText="1"/>
    </xf>
    <xf numFmtId="0" fontId="16" fillId="4" borderId="11" xfId="0" applyFont="1" applyFill="1" applyBorder="1" applyAlignment="1">
      <alignment wrapText="1"/>
    </xf>
    <xf numFmtId="0" fontId="7" fillId="6" borderId="9" xfId="0" applyFont="1" applyFill="1" applyBorder="1" applyAlignment="1">
      <alignment wrapText="1"/>
    </xf>
    <xf numFmtId="164" fontId="7" fillId="6" borderId="8" xfId="0" applyNumberFormat="1" applyFont="1" applyFill="1" applyBorder="1" applyAlignment="1">
      <alignment horizontal="center" wrapText="1"/>
    </xf>
    <xf numFmtId="0" fontId="16" fillId="6" borderId="8" xfId="0" applyFont="1" applyFill="1" applyBorder="1" applyAlignment="1">
      <alignment horizontal="center" wrapText="1"/>
    </xf>
    <xf numFmtId="166" fontId="7" fillId="6" borderId="8" xfId="0" applyNumberFormat="1" applyFont="1" applyFill="1" applyBorder="1" applyAlignment="1">
      <alignment horizontal="center" wrapText="1"/>
    </xf>
    <xf numFmtId="164" fontId="7" fillId="6" borderId="10" xfId="0" applyNumberFormat="1" applyFont="1" applyFill="1" applyBorder="1" applyAlignment="1">
      <alignment horizontal="center" wrapText="1"/>
    </xf>
    <xf numFmtId="0" fontId="31" fillId="0" borderId="13" xfId="0" applyFont="1" applyBorder="1" applyAlignment="1">
      <alignment wrapText="1"/>
    </xf>
    <xf numFmtId="0" fontId="7" fillId="6" borderId="15" xfId="0" applyFont="1" applyFill="1" applyBorder="1" applyAlignment="1">
      <alignment wrapText="1"/>
    </xf>
    <xf numFmtId="0" fontId="7" fillId="6" borderId="13" xfId="0" applyFont="1" applyFill="1" applyBorder="1" applyAlignment="1">
      <alignment wrapText="1"/>
    </xf>
    <xf numFmtId="0" fontId="16" fillId="0" borderId="15" xfId="0" applyFont="1" applyBorder="1" applyAlignment="1">
      <alignment wrapText="1"/>
    </xf>
    <xf numFmtId="0" fontId="16" fillId="0" borderId="13" xfId="0" applyFont="1" applyBorder="1" applyAlignment="1">
      <alignment wrapText="1"/>
    </xf>
    <xf numFmtId="0" fontId="24" fillId="5" borderId="29" xfId="0" applyFont="1" applyFill="1" applyBorder="1" applyAlignment="1">
      <alignment vertical="center" wrapText="1"/>
    </xf>
    <xf numFmtId="0" fontId="7" fillId="5" borderId="29" xfId="0" applyFont="1" applyFill="1" applyBorder="1" applyAlignment="1">
      <alignment wrapText="1"/>
    </xf>
    <xf numFmtId="0" fontId="7" fillId="5" borderId="38" xfId="0" applyFont="1" applyFill="1" applyBorder="1" applyAlignment="1">
      <alignment wrapText="1"/>
    </xf>
    <xf numFmtId="0" fontId="22" fillId="7" borderId="11" xfId="0" applyFont="1" applyFill="1" applyBorder="1" applyAlignment="1">
      <alignment horizontal="centerContinuous" wrapText="1"/>
    </xf>
    <xf numFmtId="0" fontId="9" fillId="7" borderId="11" xfId="0" applyFont="1" applyFill="1" applyBorder="1" applyAlignment="1">
      <alignment horizontal="centerContinuous" wrapText="1"/>
    </xf>
    <xf numFmtId="0" fontId="9" fillId="7" borderId="10" xfId="0" applyFont="1" applyFill="1" applyBorder="1" applyAlignment="1">
      <alignment horizontal="centerContinuous" wrapText="1"/>
    </xf>
    <xf numFmtId="0" fontId="31" fillId="6" borderId="3" xfId="0" applyFont="1" applyFill="1" applyBorder="1" applyAlignment="1">
      <alignment wrapText="1"/>
    </xf>
    <xf numFmtId="0" fontId="7" fillId="6" borderId="1" xfId="0" applyFont="1" applyFill="1" applyBorder="1" applyAlignment="1">
      <alignment wrapText="1"/>
    </xf>
    <xf numFmtId="0" fontId="7" fillId="6" borderId="2" xfId="0" applyFont="1" applyFill="1" applyBorder="1" applyAlignment="1">
      <alignment wrapText="1"/>
    </xf>
    <xf numFmtId="0" fontId="22" fillId="7" borderId="2" xfId="0" applyFont="1" applyFill="1" applyBorder="1" applyAlignment="1">
      <alignment horizontal="center" vertical="center" wrapText="1"/>
    </xf>
    <xf numFmtId="0" fontId="7" fillId="6" borderId="12" xfId="0" applyFont="1" applyFill="1" applyBorder="1" applyAlignment="1">
      <alignment wrapText="1"/>
    </xf>
    <xf numFmtId="0" fontId="7" fillId="0" borderId="12" xfId="0" applyFont="1" applyBorder="1" applyAlignment="1">
      <alignment wrapText="1"/>
    </xf>
    <xf numFmtId="0" fontId="7" fillId="6" borderId="7" xfId="0" applyFont="1" applyFill="1" applyBorder="1" applyAlignment="1">
      <alignment wrapText="1"/>
    </xf>
    <xf numFmtId="0" fontId="0" fillId="6" borderId="0" xfId="0" applyFill="1"/>
    <xf numFmtId="0" fontId="39" fillId="6" borderId="0" xfId="0" applyFont="1" applyFill="1" applyAlignment="1">
      <alignment vertical="center" wrapText="1"/>
    </xf>
    <xf numFmtId="167" fontId="7" fillId="6" borderId="10" xfId="2" applyNumberFormat="1" applyFont="1" applyFill="1" applyBorder="1" applyAlignment="1">
      <alignment horizontal="right" vertical="top"/>
    </xf>
    <xf numFmtId="10" fontId="7" fillId="6" borderId="8" xfId="0" applyNumberFormat="1" applyFont="1" applyFill="1" applyBorder="1" applyAlignment="1">
      <alignment horizontal="right" vertical="top"/>
    </xf>
    <xf numFmtId="0" fontId="7" fillId="6" borderId="8" xfId="0" applyFont="1" applyFill="1" applyBorder="1" applyAlignment="1">
      <alignment horizontal="right" vertical="top"/>
    </xf>
    <xf numFmtId="167" fontId="7" fillId="6" borderId="8" xfId="2" applyNumberFormat="1" applyFont="1" applyFill="1" applyBorder="1" applyAlignment="1">
      <alignment horizontal="right" vertical="top"/>
    </xf>
    <xf numFmtId="8" fontId="7" fillId="6" borderId="8" xfId="0" applyNumberFormat="1" applyFont="1" applyFill="1" applyBorder="1" applyAlignment="1">
      <alignment horizontal="right" vertical="top"/>
    </xf>
    <xf numFmtId="167" fontId="7" fillId="6" borderId="6" xfId="2" applyNumberFormat="1" applyFont="1" applyFill="1" applyBorder="1" applyAlignment="1">
      <alignment horizontal="right" vertical="top"/>
    </xf>
    <xf numFmtId="0" fontId="7" fillId="6" borderId="4" xfId="0" applyFont="1" applyFill="1" applyBorder="1"/>
    <xf numFmtId="0" fontId="9" fillId="7" borderId="2" xfId="0" applyFont="1" applyFill="1" applyBorder="1" applyAlignment="1">
      <alignment horizontal="centerContinuous"/>
    </xf>
    <xf numFmtId="0" fontId="10" fillId="7" borderId="3" xfId="0" applyFont="1" applyFill="1" applyBorder="1" applyAlignment="1">
      <alignment horizontal="centerContinuous"/>
    </xf>
    <xf numFmtId="0" fontId="7" fillId="6" borderId="9" xfId="0" applyFont="1" applyFill="1" applyBorder="1" applyAlignment="1">
      <alignment horizontal="center"/>
    </xf>
    <xf numFmtId="0" fontId="7" fillId="6" borderId="4" xfId="0" applyFont="1" applyFill="1" applyBorder="1" applyAlignment="1">
      <alignment horizontal="center"/>
    </xf>
    <xf numFmtId="0" fontId="9" fillId="7" borderId="1" xfId="0" applyFont="1" applyFill="1" applyBorder="1" applyAlignment="1">
      <alignment horizontal="centerContinuous"/>
    </xf>
    <xf numFmtId="0" fontId="30" fillId="6" borderId="0" xfId="0" applyFont="1" applyFill="1"/>
    <xf numFmtId="41" fontId="7" fillId="12" borderId="10" xfId="0" applyNumberFormat="1" applyFont="1" applyFill="1" applyBorder="1" applyAlignment="1">
      <alignment horizontal="center"/>
    </xf>
    <xf numFmtId="41" fontId="7" fillId="12" borderId="11" xfId="0" applyNumberFormat="1" applyFont="1" applyFill="1" applyBorder="1" applyAlignment="1">
      <alignment horizontal="center"/>
    </xf>
    <xf numFmtId="41" fontId="7" fillId="12" borderId="9" xfId="0" applyNumberFormat="1" applyFont="1" applyFill="1" applyBorder="1" applyAlignment="1">
      <alignment horizontal="center"/>
    </xf>
    <xf numFmtId="41" fontId="7" fillId="6" borderId="0" xfId="0" applyNumberFormat="1" applyFont="1" applyFill="1" applyAlignment="1">
      <alignment horizontal="center"/>
    </xf>
    <xf numFmtId="41" fontId="7" fillId="6" borderId="10" xfId="2" applyNumberFormat="1" applyFont="1" applyFill="1" applyBorder="1" applyAlignment="1">
      <alignment horizontal="center"/>
    </xf>
    <xf numFmtId="41" fontId="7" fillId="6" borderId="11" xfId="2" applyNumberFormat="1" applyFont="1" applyFill="1" applyBorder="1" applyAlignment="1">
      <alignment horizontal="center"/>
    </xf>
    <xf numFmtId="41" fontId="7" fillId="6" borderId="9" xfId="2" applyNumberFormat="1" applyFont="1" applyFill="1" applyBorder="1" applyAlignment="1">
      <alignment horizontal="center"/>
    </xf>
    <xf numFmtId="0" fontId="7" fillId="6" borderId="15" xfId="0" applyFont="1" applyFill="1" applyBorder="1"/>
    <xf numFmtId="41" fontId="7" fillId="12" borderId="8" xfId="0" applyNumberFormat="1" applyFont="1" applyFill="1" applyBorder="1" applyAlignment="1">
      <alignment horizontal="center"/>
    </xf>
    <xf numFmtId="41" fontId="7" fillId="12" borderId="0" xfId="0" applyNumberFormat="1" applyFont="1" applyFill="1" applyAlignment="1">
      <alignment horizontal="center"/>
    </xf>
    <xf numFmtId="41" fontId="7" fillId="12" borderId="7" xfId="0" applyNumberFormat="1" applyFont="1" applyFill="1" applyBorder="1" applyAlignment="1">
      <alignment horizontal="center"/>
    </xf>
    <xf numFmtId="41" fontId="7" fillId="6" borderId="8" xfId="0" applyNumberFormat="1" applyFont="1" applyFill="1" applyBorder="1" applyAlignment="1">
      <alignment horizontal="center"/>
    </xf>
    <xf numFmtId="41" fontId="7" fillId="6" borderId="7" xfId="0" applyNumberFormat="1" applyFont="1" applyFill="1" applyBorder="1" applyAlignment="1">
      <alignment horizontal="center"/>
    </xf>
    <xf numFmtId="0" fontId="7" fillId="6" borderId="13" xfId="0" applyFont="1" applyFill="1" applyBorder="1"/>
    <xf numFmtId="41" fontId="7" fillId="12" borderId="0" xfId="0" quotePrefix="1" applyNumberFormat="1" applyFont="1" applyFill="1" applyAlignment="1">
      <alignment horizontal="center"/>
    </xf>
    <xf numFmtId="41" fontId="7" fillId="6" borderId="13" xfId="0" applyNumberFormat="1" applyFont="1" applyFill="1" applyBorder="1" applyAlignment="1">
      <alignment horizontal="center"/>
    </xf>
    <xf numFmtId="41" fontId="7" fillId="6" borderId="8" xfId="0" quotePrefix="1" applyNumberFormat="1" applyFont="1" applyFill="1" applyBorder="1" applyAlignment="1">
      <alignment horizontal="center"/>
    </xf>
    <xf numFmtId="41" fontId="7" fillId="6" borderId="0" xfId="0" quotePrefix="1" applyNumberFormat="1" applyFont="1" applyFill="1" applyAlignment="1">
      <alignment horizontal="center"/>
    </xf>
    <xf numFmtId="41" fontId="7" fillId="6" borderId="7" xfId="0" quotePrefix="1" applyNumberFormat="1" applyFont="1" applyFill="1" applyBorder="1" applyAlignment="1">
      <alignment horizontal="center"/>
    </xf>
    <xf numFmtId="0" fontId="7" fillId="12" borderId="6" xfId="0" applyFont="1" applyFill="1" applyBorder="1" applyAlignment="1">
      <alignment horizontal="center"/>
    </xf>
    <xf numFmtId="0" fontId="7" fillId="12" borderId="5" xfId="0" applyFont="1" applyFill="1" applyBorder="1" applyAlignment="1">
      <alignment horizontal="center"/>
    </xf>
    <xf numFmtId="0" fontId="7" fillId="12" borderId="4" xfId="0" applyFont="1" applyFill="1" applyBorder="1" applyAlignment="1">
      <alignment horizontal="center"/>
    </xf>
    <xf numFmtId="0" fontId="7" fillId="6" borderId="0" xfId="0" applyFont="1" applyFill="1" applyAlignment="1">
      <alignment horizontal="center"/>
    </xf>
    <xf numFmtId="0" fontId="7" fillId="6" borderId="6" xfId="0" applyFont="1" applyFill="1" applyBorder="1" applyAlignment="1">
      <alignment horizontal="center"/>
    </xf>
    <xf numFmtId="0" fontId="7" fillId="6" borderId="5" xfId="0" applyFont="1" applyFill="1" applyBorder="1" applyAlignment="1">
      <alignment horizontal="center"/>
    </xf>
    <xf numFmtId="0" fontId="7" fillId="6" borderId="12" xfId="0" applyFont="1" applyFill="1" applyBorder="1"/>
    <xf numFmtId="0" fontId="8" fillId="7" borderId="2" xfId="0" applyFont="1" applyFill="1" applyBorder="1" applyAlignment="1">
      <alignment horizontal="centerContinuous"/>
    </xf>
    <xf numFmtId="0" fontId="8" fillId="7" borderId="1" xfId="0" applyFont="1" applyFill="1" applyBorder="1" applyAlignment="1">
      <alignment horizontal="centerContinuous"/>
    </xf>
    <xf numFmtId="0" fontId="8" fillId="7" borderId="3" xfId="0" applyFont="1" applyFill="1" applyBorder="1" applyAlignment="1">
      <alignment horizontal="centerContinuous"/>
    </xf>
    <xf numFmtId="0" fontId="10" fillId="7" borderId="31" xfId="0" applyFont="1" applyFill="1" applyBorder="1" applyAlignment="1">
      <alignment horizontal="center"/>
    </xf>
    <xf numFmtId="1" fontId="24" fillId="5" borderId="3" xfId="0" applyNumberFormat="1" applyFont="1" applyFill="1" applyBorder="1" applyAlignment="1">
      <alignment horizontal="left"/>
    </xf>
    <xf numFmtId="1" fontId="25" fillId="5" borderId="1" xfId="0" applyNumberFormat="1" applyFont="1" applyFill="1" applyBorder="1" applyAlignment="1">
      <alignment horizontal="left"/>
    </xf>
    <xf numFmtId="1" fontId="30" fillId="5" borderId="1" xfId="0" applyNumberFormat="1" applyFont="1" applyFill="1" applyBorder="1" applyAlignment="1">
      <alignment horizontal="center"/>
    </xf>
    <xf numFmtId="1" fontId="30" fillId="5" borderId="2" xfId="0" applyNumberFormat="1" applyFont="1" applyFill="1" applyBorder="1" applyAlignment="1">
      <alignment horizontal="center"/>
    </xf>
    <xf numFmtId="166" fontId="30" fillId="6" borderId="0" xfId="0" applyNumberFormat="1" applyFont="1" applyFill="1" applyAlignment="1">
      <alignment horizontal="center" wrapText="1"/>
    </xf>
    <xf numFmtId="166" fontId="16" fillId="7" borderId="8" xfId="0" applyNumberFormat="1" applyFont="1" applyFill="1" applyBorder="1" applyAlignment="1">
      <alignment horizontal="center" wrapText="1"/>
    </xf>
    <xf numFmtId="164" fontId="7" fillId="6" borderId="5" xfId="0" applyNumberFormat="1" applyFont="1" applyFill="1" applyBorder="1" applyAlignment="1">
      <alignment horizontal="center" wrapText="1"/>
    </xf>
    <xf numFmtId="166" fontId="40" fillId="6" borderId="5" xfId="0" applyNumberFormat="1" applyFont="1" applyFill="1" applyBorder="1" applyAlignment="1">
      <alignment horizontal="center" wrapText="1"/>
    </xf>
    <xf numFmtId="166" fontId="40" fillId="6" borderId="0" xfId="0" applyNumberFormat="1" applyFont="1" applyFill="1" applyAlignment="1">
      <alignment horizontal="center" wrapText="1"/>
    </xf>
    <xf numFmtId="166" fontId="8" fillId="6" borderId="5" xfId="0" applyNumberFormat="1" applyFont="1" applyFill="1" applyBorder="1" applyAlignment="1">
      <alignment horizontal="center" wrapText="1"/>
    </xf>
    <xf numFmtId="166" fontId="8" fillId="6" borderId="0" xfId="0" applyNumberFormat="1" applyFont="1" applyFill="1" applyAlignment="1">
      <alignment horizontal="center" wrapText="1"/>
    </xf>
    <xf numFmtId="166" fontId="41" fillId="6" borderId="6" xfId="0" applyNumberFormat="1" applyFont="1" applyFill="1" applyBorder="1" applyAlignment="1">
      <alignment horizontal="center" wrapText="1"/>
    </xf>
    <xf numFmtId="166" fontId="41" fillId="6" borderId="8" xfId="0" applyNumberFormat="1" applyFont="1" applyFill="1" applyBorder="1" applyAlignment="1">
      <alignment horizontal="center" wrapText="1"/>
    </xf>
    <xf numFmtId="0" fontId="9" fillId="7" borderId="3" xfId="0" applyFont="1" applyFill="1" applyBorder="1" applyAlignment="1">
      <alignment wrapText="1"/>
    </xf>
    <xf numFmtId="0" fontId="7" fillId="6" borderId="13" xfId="0" applyFont="1" applyFill="1" applyBorder="1" applyAlignment="1">
      <alignment horizontal="centerContinuous" wrapText="1"/>
    </xf>
    <xf numFmtId="0" fontId="9" fillId="7" borderId="31" xfId="0" applyFont="1" applyFill="1" applyBorder="1" applyAlignment="1">
      <alignment horizontal="centerContinuous" wrapText="1"/>
    </xf>
    <xf numFmtId="41" fontId="7" fillId="6" borderId="28" xfId="0" applyNumberFormat="1" applyFont="1" applyFill="1" applyBorder="1" applyAlignment="1">
      <alignment wrapText="1"/>
    </xf>
    <xf numFmtId="41" fontId="7" fillId="6" borderId="35" xfId="0" applyNumberFormat="1" applyFont="1" applyFill="1" applyBorder="1" applyAlignment="1">
      <alignment wrapText="1"/>
    </xf>
    <xf numFmtId="41" fontId="7" fillId="7" borderId="23" xfId="0" applyNumberFormat="1" applyFont="1" applyFill="1" applyBorder="1" applyAlignment="1">
      <alignment wrapText="1"/>
    </xf>
    <xf numFmtId="9" fontId="7" fillId="0" borderId="0" xfId="0" applyNumberFormat="1" applyFont="1"/>
    <xf numFmtId="41" fontId="8" fillId="3" borderId="8" xfId="0" applyNumberFormat="1" applyFont="1" applyFill="1" applyBorder="1" applyAlignment="1">
      <alignment horizontal="right" vertical="top"/>
    </xf>
    <xf numFmtId="164" fontId="3" fillId="0" borderId="8" xfId="1" applyNumberFormat="1" applyFont="1" applyBorder="1" applyAlignment="1">
      <alignment horizontal="center" vertical="center"/>
    </xf>
    <xf numFmtId="41" fontId="14" fillId="0" borderId="8" xfId="1" applyNumberFormat="1" applyFont="1" applyBorder="1" applyAlignment="1">
      <alignment horizontal="right" vertical="top"/>
    </xf>
    <xf numFmtId="164" fontId="14" fillId="0" borderId="8" xfId="1" applyNumberFormat="1" applyFont="1" applyBorder="1" applyAlignment="1">
      <alignment horizontal="right" vertical="top"/>
    </xf>
    <xf numFmtId="9" fontId="3" fillId="0" borderId="8" xfId="1" applyFont="1" applyBorder="1" applyAlignment="1">
      <alignment horizontal="center" vertical="center"/>
    </xf>
    <xf numFmtId="41" fontId="14" fillId="0" borderId="8" xfId="1" applyNumberFormat="1" applyFont="1" applyBorder="1" applyAlignment="1">
      <alignment horizontal="center" vertical="center"/>
    </xf>
    <xf numFmtId="164" fontId="14" fillId="0" borderId="8" xfId="1" applyNumberFormat="1" applyFont="1" applyBorder="1" applyAlignment="1">
      <alignment horizontal="center" vertical="center"/>
    </xf>
    <xf numFmtId="41" fontId="22" fillId="3" borderId="8" xfId="1" applyNumberFormat="1" applyFont="1" applyFill="1" applyBorder="1" applyAlignment="1">
      <alignment horizontal="center" vertical="center"/>
    </xf>
    <xf numFmtId="41" fontId="15" fillId="0" borderId="8" xfId="0" applyNumberFormat="1" applyFont="1" applyBorder="1" applyAlignment="1">
      <alignment horizontal="right" vertical="top"/>
    </xf>
    <xf numFmtId="41" fontId="8" fillId="0" borderId="8" xfId="0" applyNumberFormat="1" applyFont="1" applyBorder="1" applyAlignment="1">
      <alignment horizontal="right" vertical="top"/>
    </xf>
    <xf numFmtId="41" fontId="17" fillId="0" borderId="8" xfId="0" applyNumberFormat="1" applyFont="1" applyBorder="1" applyAlignment="1">
      <alignment horizontal="right" vertical="top"/>
    </xf>
    <xf numFmtId="41" fontId="7" fillId="0" borderId="8" xfId="0" applyNumberFormat="1" applyFont="1" applyBorder="1"/>
    <xf numFmtId="0" fontId="7" fillId="0" borderId="8" xfId="0" applyFont="1" applyBorder="1"/>
    <xf numFmtId="164" fontId="7" fillId="0" borderId="8" xfId="1" applyNumberFormat="1" applyFont="1" applyBorder="1"/>
    <xf numFmtId="0" fontId="7" fillId="3" borderId="8" xfId="0" applyFont="1" applyFill="1" applyBorder="1"/>
    <xf numFmtId="0" fontId="16" fillId="3" borderId="8" xfId="0" applyFont="1" applyFill="1" applyBorder="1"/>
    <xf numFmtId="37" fontId="9" fillId="0" borderId="8" xfId="0" applyNumberFormat="1" applyFont="1" applyBorder="1"/>
    <xf numFmtId="0" fontId="16" fillId="0" borderId="8" xfId="0" applyFont="1" applyBorder="1"/>
    <xf numFmtId="166" fontId="7" fillId="0" borderId="8" xfId="0" applyNumberFormat="1" applyFont="1" applyBorder="1"/>
    <xf numFmtId="166" fontId="16" fillId="0" borderId="8" xfId="0" applyNumberFormat="1" applyFont="1" applyBorder="1"/>
    <xf numFmtId="9" fontId="7" fillId="0" borderId="8" xfId="1" applyFont="1" applyBorder="1"/>
    <xf numFmtId="41" fontId="9" fillId="0" borderId="8" xfId="0" applyNumberFormat="1" applyFont="1" applyBorder="1" applyAlignment="1">
      <alignment horizontal="right" vertical="top"/>
    </xf>
    <xf numFmtId="41" fontId="16" fillId="0" borderId="8" xfId="0" applyNumberFormat="1" applyFont="1" applyBorder="1"/>
    <xf numFmtId="10" fontId="7" fillId="0" borderId="8" xfId="1" applyNumberFormat="1" applyFont="1" applyBorder="1"/>
    <xf numFmtId="0" fontId="13" fillId="2" borderId="31" xfId="0" applyFont="1" applyFill="1" applyBorder="1"/>
    <xf numFmtId="0" fontId="9" fillId="2" borderId="1" xfId="0" applyFont="1" applyFill="1" applyBorder="1" applyAlignment="1">
      <alignment horizontal="center" vertical="center"/>
    </xf>
    <xf numFmtId="0" fontId="7" fillId="2" borderId="1" xfId="0" applyFont="1" applyFill="1" applyBorder="1"/>
    <xf numFmtId="0" fontId="9" fillId="2" borderId="2" xfId="0" applyFont="1" applyFill="1" applyBorder="1" applyAlignment="1">
      <alignment horizontal="center" vertical="center"/>
    </xf>
    <xf numFmtId="41" fontId="7" fillId="5" borderId="1" xfId="0" applyNumberFormat="1" applyFont="1" applyFill="1" applyBorder="1"/>
    <xf numFmtId="41" fontId="7" fillId="5" borderId="2" xfId="0" applyNumberFormat="1" applyFont="1" applyFill="1" applyBorder="1"/>
    <xf numFmtId="0" fontId="7" fillId="0" borderId="11" xfId="0" applyFont="1" applyBorder="1"/>
    <xf numFmtId="41" fontId="7" fillId="0" borderId="11" xfId="0" applyNumberFormat="1" applyFont="1" applyBorder="1"/>
    <xf numFmtId="41" fontId="23" fillId="0" borderId="11" xfId="0" applyNumberFormat="1" applyFont="1" applyBorder="1" applyAlignment="1">
      <alignment horizontal="right" vertical="top"/>
    </xf>
    <xf numFmtId="41" fontId="23" fillId="0" borderId="10" xfId="0" applyNumberFormat="1" applyFont="1" applyBorder="1" applyAlignment="1">
      <alignment horizontal="right" vertical="top"/>
    </xf>
    <xf numFmtId="164" fontId="3" fillId="0" borderId="0" xfId="1" applyNumberFormat="1" applyFont="1" applyBorder="1" applyAlignment="1">
      <alignment horizontal="center" vertical="center"/>
    </xf>
    <xf numFmtId="41" fontId="14" fillId="0" borderId="0" xfId="1" applyNumberFormat="1" applyFont="1" applyBorder="1" applyAlignment="1">
      <alignment horizontal="right" vertical="top"/>
    </xf>
    <xf numFmtId="164" fontId="14" fillId="0" borderId="0" xfId="1" applyNumberFormat="1" applyFont="1" applyBorder="1" applyAlignment="1">
      <alignment horizontal="right" vertical="top"/>
    </xf>
    <xf numFmtId="9" fontId="3" fillId="0" borderId="0" xfId="1" applyFont="1" applyBorder="1" applyAlignment="1">
      <alignment horizontal="center" vertical="center"/>
    </xf>
    <xf numFmtId="41" fontId="14" fillId="0" borderId="0" xfId="1" applyNumberFormat="1" applyFont="1" applyBorder="1" applyAlignment="1">
      <alignment horizontal="center" vertical="center"/>
    </xf>
    <xf numFmtId="164" fontId="14" fillId="0" borderId="0" xfId="1" applyNumberFormat="1" applyFont="1" applyBorder="1" applyAlignment="1">
      <alignment horizontal="center" vertical="center"/>
    </xf>
    <xf numFmtId="41" fontId="22" fillId="3" borderId="0" xfId="1" applyNumberFormat="1" applyFont="1" applyFill="1" applyBorder="1" applyAlignment="1">
      <alignment horizontal="center" vertical="center"/>
    </xf>
    <xf numFmtId="164" fontId="7" fillId="0" borderId="0" xfId="1" applyNumberFormat="1" applyFont="1" applyFill="1" applyBorder="1"/>
    <xf numFmtId="164" fontId="7" fillId="0" borderId="0" xfId="1" applyNumberFormat="1" applyFont="1" applyBorder="1"/>
    <xf numFmtId="9" fontId="7" fillId="0" borderId="0" xfId="1" applyFont="1" applyBorder="1"/>
    <xf numFmtId="10" fontId="7" fillId="0" borderId="0" xfId="1" applyNumberFormat="1" applyFont="1" applyBorder="1"/>
    <xf numFmtId="0" fontId="24" fillId="5" borderId="0" xfId="0" applyFont="1" applyFill="1" applyAlignment="1">
      <alignment horizontal="center" vertical="center"/>
    </xf>
    <xf numFmtId="0" fontId="44" fillId="0" borderId="11" xfId="0" applyFont="1" applyBorder="1"/>
    <xf numFmtId="0" fontId="44" fillId="0" borderId="0" xfId="0" applyFont="1"/>
    <xf numFmtId="0" fontId="45" fillId="0" borderId="0" xfId="0" applyFont="1"/>
    <xf numFmtId="41" fontId="7" fillId="5" borderId="3" xfId="0" applyNumberFormat="1" applyFont="1" applyFill="1" applyBorder="1"/>
    <xf numFmtId="0" fontId="9" fillId="2" borderId="3" xfId="0" applyFont="1" applyFill="1" applyBorder="1" applyAlignment="1">
      <alignment horizontal="center" vertical="center"/>
    </xf>
    <xf numFmtId="41" fontId="8" fillId="3" borderId="7" xfId="0" applyNumberFormat="1" applyFont="1" applyFill="1" applyBorder="1" applyAlignment="1">
      <alignment horizontal="right" vertical="top"/>
    </xf>
    <xf numFmtId="41" fontId="8" fillId="3" borderId="6" xfId="0" applyNumberFormat="1" applyFont="1" applyFill="1" applyBorder="1" applyAlignment="1">
      <alignment horizontal="right" vertical="top"/>
    </xf>
    <xf numFmtId="164" fontId="3" fillId="0" borderId="7" xfId="1" applyNumberFormat="1" applyFont="1" applyBorder="1" applyAlignment="1">
      <alignment horizontal="center" vertical="center"/>
    </xf>
    <xf numFmtId="164" fontId="4" fillId="0" borderId="0" xfId="1" applyNumberFormat="1" applyFont="1" applyBorder="1" applyAlignment="1">
      <alignment horizontal="center" vertical="center"/>
    </xf>
    <xf numFmtId="41" fontId="14" fillId="0" borderId="7" xfId="1" applyNumberFormat="1" applyFont="1" applyBorder="1" applyAlignment="1">
      <alignment horizontal="right" vertical="top"/>
    </xf>
    <xf numFmtId="164" fontId="14" fillId="0" borderId="7" xfId="1" applyNumberFormat="1" applyFont="1" applyBorder="1" applyAlignment="1">
      <alignment horizontal="right" vertical="top"/>
    </xf>
    <xf numFmtId="9" fontId="3" fillId="0" borderId="7" xfId="1" applyFont="1" applyBorder="1" applyAlignment="1">
      <alignment horizontal="center" vertical="center"/>
    </xf>
    <xf numFmtId="9" fontId="4" fillId="0" borderId="0" xfId="1" applyFont="1" applyBorder="1" applyAlignment="1">
      <alignment horizontal="center" vertical="center"/>
    </xf>
    <xf numFmtId="41" fontId="14" fillId="0" borderId="7" xfId="1" applyNumberFormat="1" applyFont="1" applyBorder="1" applyAlignment="1">
      <alignment horizontal="center" vertical="center"/>
    </xf>
    <xf numFmtId="164" fontId="14" fillId="0" borderId="7" xfId="1" applyNumberFormat="1" applyFont="1" applyBorder="1" applyAlignment="1">
      <alignment horizontal="center" vertical="center"/>
    </xf>
    <xf numFmtId="41" fontId="22" fillId="3" borderId="7" xfId="1" applyNumberFormat="1" applyFont="1" applyFill="1" applyBorder="1" applyAlignment="1">
      <alignment horizontal="center" vertical="center"/>
    </xf>
    <xf numFmtId="164" fontId="3" fillId="0" borderId="9" xfId="1" applyNumberFormat="1" applyFont="1" applyBorder="1" applyAlignment="1">
      <alignment horizontal="center" vertical="center"/>
    </xf>
    <xf numFmtId="164" fontId="3" fillId="0" borderId="11" xfId="1" applyNumberFormat="1" applyFont="1" applyBorder="1" applyAlignment="1">
      <alignment horizontal="center" vertical="center"/>
    </xf>
    <xf numFmtId="164" fontId="3" fillId="0" borderId="10" xfId="1" applyNumberFormat="1" applyFont="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7" fillId="2" borderId="5" xfId="0" applyFont="1" applyFill="1" applyBorder="1"/>
    <xf numFmtId="0" fontId="9" fillId="2" borderId="6" xfId="0" applyFont="1" applyFill="1" applyBorder="1" applyAlignment="1">
      <alignment horizontal="center" vertical="center"/>
    </xf>
    <xf numFmtId="41" fontId="16" fillId="3" borderId="7" xfId="0" applyNumberFormat="1" applyFont="1" applyFill="1" applyBorder="1"/>
    <xf numFmtId="41" fontId="8" fillId="3" borderId="8" xfId="0" applyNumberFormat="1" applyFont="1" applyFill="1" applyBorder="1"/>
    <xf numFmtId="41" fontId="16" fillId="3" borderId="8" xfId="0" applyNumberFormat="1" applyFont="1" applyFill="1" applyBorder="1"/>
    <xf numFmtId="164" fontId="3" fillId="0" borderId="7" xfId="1" applyNumberFormat="1" applyFont="1" applyBorder="1" applyAlignment="1">
      <alignment horizontal="right" vertical="top"/>
    </xf>
    <xf numFmtId="164" fontId="3" fillId="0" borderId="0" xfId="1" applyNumberFormat="1" applyFont="1" applyBorder="1" applyAlignment="1">
      <alignment horizontal="right" vertical="top"/>
    </xf>
    <xf numFmtId="164" fontId="3" fillId="0" borderId="8" xfId="1" applyNumberFormat="1" applyFont="1" applyBorder="1" applyAlignment="1">
      <alignment horizontal="right" vertical="top"/>
    </xf>
    <xf numFmtId="41" fontId="12" fillId="0" borderId="7" xfId="0" applyNumberFormat="1" applyFont="1" applyBorder="1"/>
    <xf numFmtId="41" fontId="14" fillId="0" borderId="8" xfId="0" applyNumberFormat="1" applyFont="1" applyBorder="1"/>
    <xf numFmtId="41" fontId="15" fillId="0" borderId="7" xfId="0" applyNumberFormat="1" applyFont="1" applyBorder="1" applyAlignment="1">
      <alignment horizontal="right" vertical="top"/>
    </xf>
    <xf numFmtId="41" fontId="8" fillId="0" borderId="7" xfId="0" applyNumberFormat="1" applyFont="1" applyBorder="1" applyAlignment="1">
      <alignment horizontal="right" vertical="top"/>
    </xf>
    <xf numFmtId="41" fontId="17" fillId="0" borderId="7" xfId="0" applyNumberFormat="1" applyFont="1" applyBorder="1" applyAlignment="1">
      <alignment horizontal="right" vertical="top"/>
    </xf>
    <xf numFmtId="41" fontId="16" fillId="3" borderId="7" xfId="0" applyNumberFormat="1" applyFont="1" applyFill="1" applyBorder="1" applyAlignment="1">
      <alignment horizontal="right" vertical="top"/>
    </xf>
    <xf numFmtId="41" fontId="7" fillId="0" borderId="7" xfId="0" applyNumberFormat="1" applyFont="1" applyBorder="1"/>
    <xf numFmtId="0" fontId="7" fillId="0" borderId="7" xfId="0" applyFont="1" applyBorder="1"/>
    <xf numFmtId="7" fontId="17" fillId="0" borderId="7" xfId="0" applyNumberFormat="1" applyFont="1" applyBorder="1"/>
    <xf numFmtId="41" fontId="7" fillId="0" borderId="1" xfId="0" applyNumberFormat="1" applyFont="1" applyBorder="1"/>
    <xf numFmtId="41" fontId="7" fillId="0" borderId="5" xfId="0" applyNumberFormat="1" applyFont="1" applyBorder="1"/>
    <xf numFmtId="0" fontId="7" fillId="2" borderId="4" xfId="0" applyFont="1" applyFill="1" applyBorder="1"/>
    <xf numFmtId="0" fontId="9" fillId="2" borderId="6" xfId="0" applyFont="1" applyFill="1" applyBorder="1"/>
    <xf numFmtId="41" fontId="19" fillId="0" borderId="7" xfId="0" applyNumberFormat="1" applyFont="1" applyBorder="1"/>
    <xf numFmtId="41" fontId="19" fillId="0" borderId="8" xfId="0" applyNumberFormat="1" applyFont="1" applyBorder="1"/>
    <xf numFmtId="41" fontId="9" fillId="0" borderId="8" xfId="0" applyNumberFormat="1" applyFont="1" applyBorder="1"/>
    <xf numFmtId="7" fontId="9" fillId="0" borderId="8" xfId="0" applyNumberFormat="1" applyFont="1" applyBorder="1"/>
    <xf numFmtId="41" fontId="7" fillId="0" borderId="9" xfId="0" applyNumberFormat="1" applyFont="1" applyBorder="1"/>
    <xf numFmtId="41" fontId="9" fillId="0" borderId="10" xfId="0" applyNumberFormat="1" applyFont="1" applyBorder="1"/>
    <xf numFmtId="41" fontId="16" fillId="3" borderId="7" xfId="0" applyNumberFormat="1" applyFont="1" applyFill="1" applyBorder="1" applyAlignment="1">
      <alignment vertical="top"/>
    </xf>
    <xf numFmtId="41" fontId="23" fillId="0" borderId="9" xfId="0" applyNumberFormat="1" applyFont="1" applyBorder="1" applyAlignment="1">
      <alignment horizontal="right" vertical="top"/>
    </xf>
    <xf numFmtId="0" fontId="9" fillId="0" borderId="8" xfId="0" applyFont="1" applyBorder="1"/>
    <xf numFmtId="41" fontId="9" fillId="0" borderId="7" xfId="0" applyNumberFormat="1" applyFont="1" applyBorder="1" applyAlignment="1">
      <alignment horizontal="right" vertical="top"/>
    </xf>
    <xf numFmtId="41" fontId="6" fillId="0" borderId="10" xfId="0" applyNumberFormat="1" applyFont="1" applyBorder="1"/>
    <xf numFmtId="0" fontId="9" fillId="0" borderId="7" xfId="0" applyFont="1" applyBorder="1"/>
    <xf numFmtId="37" fontId="9" fillId="0" borderId="7" xfId="0" applyNumberFormat="1" applyFont="1" applyBorder="1" applyAlignment="1">
      <alignment horizontal="right" vertical="top" wrapText="1"/>
    </xf>
    <xf numFmtId="0" fontId="9" fillId="3" borderId="7" xfId="0" applyFont="1" applyFill="1" applyBorder="1" applyAlignment="1">
      <alignment vertical="top"/>
    </xf>
    <xf numFmtId="0" fontId="16" fillId="3" borderId="7" xfId="0" applyFont="1" applyFill="1" applyBorder="1"/>
    <xf numFmtId="37" fontId="9" fillId="0" borderId="7" xfId="0" applyNumberFormat="1" applyFont="1" applyBorder="1"/>
    <xf numFmtId="0" fontId="8" fillId="3" borderId="7" xfId="0" applyFont="1" applyFill="1" applyBorder="1"/>
    <xf numFmtId="0" fontId="8" fillId="3" borderId="0" xfId="0" applyFont="1" applyFill="1"/>
    <xf numFmtId="0" fontId="8" fillId="0" borderId="7" xfId="0" applyFont="1" applyBorder="1"/>
    <xf numFmtId="0" fontId="9" fillId="3" borderId="9" xfId="0" applyFont="1" applyFill="1" applyBorder="1"/>
    <xf numFmtId="0" fontId="9" fillId="3" borderId="11" xfId="0" applyFont="1" applyFill="1" applyBorder="1"/>
    <xf numFmtId="0" fontId="7" fillId="3" borderId="11" xfId="0" applyFont="1" applyFill="1" applyBorder="1"/>
    <xf numFmtId="0" fontId="7" fillId="3" borderId="10" xfId="0" applyFont="1" applyFill="1" applyBorder="1"/>
    <xf numFmtId="0" fontId="7" fillId="3" borderId="7" xfId="0" applyFont="1" applyFill="1" applyBorder="1"/>
    <xf numFmtId="0" fontId="16" fillId="0" borderId="7" xfId="0" applyFont="1" applyBorder="1"/>
    <xf numFmtId="0" fontId="7" fillId="3" borderId="9" xfId="0" applyFont="1" applyFill="1" applyBorder="1"/>
    <xf numFmtId="0" fontId="8" fillId="3" borderId="8" xfId="0" applyFont="1" applyFill="1" applyBorder="1"/>
    <xf numFmtId="167" fontId="7" fillId="0" borderId="7" xfId="0" applyNumberFormat="1" applyFont="1" applyBorder="1"/>
    <xf numFmtId="167" fontId="7" fillId="0" borderId="8" xfId="0" applyNumberFormat="1" applyFont="1" applyBorder="1"/>
    <xf numFmtId="167" fontId="16" fillId="3" borderId="7" xfId="0" applyNumberFormat="1" applyFont="1" applyFill="1" applyBorder="1"/>
    <xf numFmtId="167" fontId="16" fillId="3" borderId="0" xfId="0" applyNumberFormat="1" applyFont="1" applyFill="1"/>
    <xf numFmtId="167" fontId="16" fillId="3" borderId="8" xfId="0" applyNumberFormat="1" applyFont="1" applyFill="1" applyBorder="1"/>
    <xf numFmtId="167" fontId="16" fillId="0" borderId="7" xfId="0" applyNumberFormat="1" applyFont="1" applyBorder="1"/>
    <xf numFmtId="167" fontId="16" fillId="0" borderId="0" xfId="0" applyNumberFormat="1" applyFont="1"/>
    <xf numFmtId="167" fontId="16" fillId="0" borderId="8" xfId="0" applyNumberFormat="1" applyFont="1" applyBorder="1"/>
    <xf numFmtId="41" fontId="16" fillId="3" borderId="9" xfId="0" applyNumberFormat="1" applyFont="1" applyFill="1" applyBorder="1"/>
    <xf numFmtId="41" fontId="16" fillId="3" borderId="11" xfId="0" applyNumberFormat="1" applyFont="1" applyFill="1" applyBorder="1"/>
    <xf numFmtId="41" fontId="16" fillId="3" borderId="10" xfId="0" applyNumberFormat="1" applyFont="1" applyFill="1" applyBorder="1"/>
    <xf numFmtId="166" fontId="7" fillId="0" borderId="7" xfId="0" applyNumberFormat="1" applyFont="1" applyBorder="1"/>
    <xf numFmtId="166" fontId="7" fillId="0" borderId="6" xfId="0" applyNumberFormat="1" applyFont="1" applyBorder="1"/>
    <xf numFmtId="166" fontId="16" fillId="0" borderId="7" xfId="0" applyNumberFormat="1" applyFont="1" applyBorder="1"/>
    <xf numFmtId="9" fontId="7" fillId="0" borderId="7" xfId="1" applyFont="1" applyBorder="1"/>
    <xf numFmtId="41" fontId="16" fillId="0" borderId="7" xfId="0" applyNumberFormat="1" applyFont="1" applyBorder="1"/>
    <xf numFmtId="10" fontId="7" fillId="0" borderId="7" xfId="1" applyNumberFormat="1" applyFont="1" applyBorder="1"/>
    <xf numFmtId="0" fontId="9" fillId="0" borderId="9" xfId="0" applyFont="1" applyBorder="1"/>
    <xf numFmtId="0" fontId="9" fillId="0" borderId="11" xfId="0" applyFont="1" applyBorder="1"/>
    <xf numFmtId="10" fontId="7" fillId="0" borderId="10" xfId="1" applyNumberFormat="1" applyFont="1" applyFill="1" applyBorder="1"/>
    <xf numFmtId="0" fontId="7" fillId="0" borderId="9" xfId="0" applyFont="1" applyBorder="1"/>
    <xf numFmtId="10" fontId="7" fillId="0" borderId="7" xfId="0" applyNumberFormat="1" applyFont="1" applyBorder="1"/>
    <xf numFmtId="10" fontId="7" fillId="0" borderId="0" xfId="0" applyNumberFormat="1" applyFont="1"/>
    <xf numFmtId="10" fontId="7" fillId="0" borderId="8" xfId="0" applyNumberFormat="1" applyFont="1" applyBorder="1"/>
    <xf numFmtId="10" fontId="7" fillId="0" borderId="9" xfId="0" applyNumberFormat="1" applyFont="1" applyBorder="1"/>
    <xf numFmtId="10" fontId="7" fillId="0" borderId="11" xfId="0" applyNumberFormat="1" applyFont="1" applyBorder="1"/>
    <xf numFmtId="10" fontId="7" fillId="0" borderId="10" xfId="0" applyNumberFormat="1" applyFont="1" applyBorder="1"/>
    <xf numFmtId="0" fontId="7" fillId="0" borderId="5" xfId="0" applyFont="1" applyBorder="1"/>
    <xf numFmtId="41" fontId="23" fillId="0" borderId="1" xfId="0" applyNumberFormat="1" applyFont="1" applyBorder="1" applyAlignment="1">
      <alignment horizontal="right" vertical="top"/>
    </xf>
    <xf numFmtId="0" fontId="9" fillId="0" borderId="11" xfId="0" applyFont="1" applyBorder="1" applyAlignment="1">
      <alignment horizontal="center" vertical="center"/>
    </xf>
    <xf numFmtId="0" fontId="9" fillId="0" borderId="1" xfId="0" applyFont="1" applyBorder="1" applyAlignment="1">
      <alignment horizontal="center" vertical="center"/>
    </xf>
    <xf numFmtId="164" fontId="7" fillId="0" borderId="7" xfId="1" applyNumberFormat="1" applyFont="1" applyFill="1" applyBorder="1"/>
    <xf numFmtId="164" fontId="7" fillId="0" borderId="8" xfId="1" applyNumberFormat="1" applyFont="1" applyFill="1" applyBorder="1"/>
    <xf numFmtId="164" fontId="7" fillId="0" borderId="7" xfId="1" applyNumberFormat="1" applyFont="1" applyBorder="1"/>
    <xf numFmtId="164" fontId="7" fillId="0" borderId="9" xfId="1" applyNumberFormat="1" applyFont="1" applyBorder="1"/>
    <xf numFmtId="164" fontId="7" fillId="0" borderId="11" xfId="1" applyNumberFormat="1" applyFont="1" applyBorder="1"/>
    <xf numFmtId="164" fontId="7" fillId="0" borderId="10" xfId="1" applyNumberFormat="1" applyFont="1" applyBorder="1"/>
    <xf numFmtId="41" fontId="7" fillId="5" borderId="4" xfId="0" applyNumberFormat="1" applyFont="1" applyFill="1" applyBorder="1"/>
    <xf numFmtId="41" fontId="7" fillId="5" borderId="5" xfId="0" applyNumberFormat="1" applyFont="1" applyFill="1" applyBorder="1"/>
    <xf numFmtId="41" fontId="7" fillId="5" borderId="6" xfId="0" applyNumberFormat="1" applyFont="1" applyFill="1" applyBorder="1"/>
    <xf numFmtId="41" fontId="9" fillId="5" borderId="6" xfId="0" applyNumberFormat="1" applyFont="1" applyFill="1" applyBorder="1"/>
    <xf numFmtId="164" fontId="9" fillId="0" borderId="8" xfId="1" applyNumberFormat="1" applyFont="1" applyFill="1" applyBorder="1"/>
    <xf numFmtId="164" fontId="7" fillId="0" borderId="9" xfId="1" applyNumberFormat="1" applyFont="1" applyFill="1" applyBorder="1"/>
    <xf numFmtId="164" fontId="7" fillId="0" borderId="11" xfId="1" applyNumberFormat="1" applyFont="1" applyFill="1" applyBorder="1"/>
    <xf numFmtId="164" fontId="9" fillId="0" borderId="10" xfId="1" applyNumberFormat="1" applyFont="1" applyFill="1" applyBorder="1"/>
    <xf numFmtId="0" fontId="8" fillId="3" borderId="13" xfId="0" applyFont="1" applyFill="1" applyBorder="1" applyAlignment="1">
      <alignment vertical="top"/>
    </xf>
    <xf numFmtId="0" fontId="14" fillId="0" borderId="13" xfId="0" applyFont="1" applyBorder="1" applyAlignment="1">
      <alignment vertical="top"/>
    </xf>
    <xf numFmtId="0" fontId="22" fillId="3" borderId="13" xfId="0" applyFont="1" applyFill="1" applyBorder="1" applyAlignment="1">
      <alignment vertical="top"/>
    </xf>
    <xf numFmtId="0" fontId="3" fillId="0" borderId="15" xfId="0" applyFont="1" applyBorder="1" applyAlignment="1">
      <alignment vertical="top"/>
    </xf>
    <xf numFmtId="0" fontId="8" fillId="0" borderId="13" xfId="0" applyFont="1" applyBorder="1" applyAlignment="1">
      <alignment horizontal="left" vertical="top" indent="2"/>
    </xf>
    <xf numFmtId="0" fontId="16" fillId="0" borderId="13" xfId="0" applyFont="1" applyBorder="1" applyAlignment="1">
      <alignment vertical="top"/>
    </xf>
    <xf numFmtId="0" fontId="4" fillId="0" borderId="13" xfId="0" applyFont="1" applyBorder="1" applyAlignment="1">
      <alignment vertical="top"/>
    </xf>
    <xf numFmtId="0" fontId="9" fillId="0" borderId="13" xfId="0" applyFont="1" applyBorder="1" applyAlignment="1">
      <alignment horizontal="left" vertical="top" indent="2"/>
    </xf>
    <xf numFmtId="0" fontId="16" fillId="3" borderId="13" xfId="0" applyFont="1" applyFill="1" applyBorder="1" applyAlignment="1">
      <alignment vertical="top"/>
    </xf>
    <xf numFmtId="0" fontId="8" fillId="0" borderId="13" xfId="0" applyFont="1" applyBorder="1" applyAlignment="1">
      <alignment horizontal="left" vertical="top"/>
    </xf>
    <xf numFmtId="0" fontId="8" fillId="0" borderId="13" xfId="0" applyFont="1" applyBorder="1" applyAlignment="1">
      <alignment vertical="top"/>
    </xf>
    <xf numFmtId="0" fontId="9" fillId="0" borderId="13" xfId="0" applyFont="1" applyBorder="1" applyAlignment="1">
      <alignment vertical="top"/>
    </xf>
    <xf numFmtId="0" fontId="9" fillId="0" borderId="15" xfId="0" applyFont="1" applyBorder="1" applyAlignment="1">
      <alignment vertical="top"/>
    </xf>
    <xf numFmtId="0" fontId="9" fillId="0" borderId="13" xfId="0" applyFont="1" applyBorder="1"/>
    <xf numFmtId="0" fontId="7" fillId="0" borderId="13" xfId="0" applyFont="1" applyBorder="1"/>
    <xf numFmtId="0" fontId="7" fillId="0" borderId="15" xfId="0" applyFont="1" applyBorder="1"/>
    <xf numFmtId="0" fontId="16" fillId="3" borderId="13" xfId="0" applyFont="1" applyFill="1" applyBorder="1"/>
    <xf numFmtId="0" fontId="23" fillId="0" borderId="15" xfId="0" applyFont="1" applyBorder="1" applyAlignment="1">
      <alignment vertical="top"/>
    </xf>
    <xf numFmtId="0" fontId="8" fillId="0" borderId="13" xfId="0" applyFont="1" applyBorder="1"/>
    <xf numFmtId="0" fontId="8" fillId="3" borderId="13" xfId="0" applyFont="1" applyFill="1" applyBorder="1"/>
    <xf numFmtId="0" fontId="8" fillId="3" borderId="15" xfId="0" applyFont="1" applyFill="1" applyBorder="1"/>
    <xf numFmtId="0" fontId="0" fillId="0" borderId="8" xfId="0" applyBorder="1" applyAlignment="1">
      <alignment wrapText="1"/>
    </xf>
    <xf numFmtId="0" fontId="16" fillId="8" borderId="40" xfId="0" applyFont="1" applyFill="1" applyBorder="1" applyAlignment="1">
      <alignment wrapText="1"/>
    </xf>
    <xf numFmtId="0" fontId="16" fillId="8" borderId="41" xfId="0" applyFont="1" applyFill="1" applyBorder="1" applyAlignment="1">
      <alignment wrapText="1"/>
    </xf>
    <xf numFmtId="41" fontId="16" fillId="8" borderId="42" xfId="0" applyNumberFormat="1" applyFont="1" applyFill="1" applyBorder="1" applyAlignment="1">
      <alignment wrapText="1"/>
    </xf>
    <xf numFmtId="41" fontId="16" fillId="0" borderId="36" xfId="0" applyNumberFormat="1" applyFont="1" applyBorder="1" applyAlignment="1">
      <alignment wrapText="1"/>
    </xf>
    <xf numFmtId="41" fontId="16" fillId="8" borderId="36" xfId="0" applyNumberFormat="1" applyFont="1" applyFill="1" applyBorder="1" applyAlignment="1">
      <alignment wrapText="1"/>
    </xf>
    <xf numFmtId="41" fontId="16" fillId="8" borderId="39" xfId="0" applyNumberFormat="1" applyFont="1" applyFill="1" applyBorder="1" applyAlignment="1">
      <alignment wrapText="1"/>
    </xf>
    <xf numFmtId="41" fontId="7" fillId="6" borderId="8" xfId="0" applyNumberFormat="1" applyFont="1" applyFill="1" applyBorder="1" applyAlignment="1">
      <alignment wrapText="1"/>
    </xf>
    <xf numFmtId="41" fontId="7" fillId="7" borderId="39" xfId="0" applyNumberFormat="1" applyFont="1" applyFill="1" applyBorder="1" applyAlignment="1">
      <alignment wrapText="1"/>
    </xf>
    <xf numFmtId="0" fontId="16" fillId="7" borderId="35" xfId="0" applyFont="1" applyFill="1" applyBorder="1" applyAlignment="1">
      <alignment wrapText="1"/>
    </xf>
    <xf numFmtId="0" fontId="7" fillId="7" borderId="35" xfId="0" applyFont="1" applyFill="1" applyBorder="1" applyAlignment="1">
      <alignment wrapText="1"/>
    </xf>
    <xf numFmtId="0" fontId="0" fillId="0" borderId="11" xfId="0" applyBorder="1" applyAlignment="1">
      <alignment wrapText="1"/>
    </xf>
    <xf numFmtId="164" fontId="40" fillId="6" borderId="0" xfId="0" applyNumberFormat="1" applyFont="1" applyFill="1" applyAlignment="1">
      <alignment horizontal="center" wrapText="1"/>
    </xf>
    <xf numFmtId="164" fontId="8" fillId="6" borderId="0" xfId="0" applyNumberFormat="1" applyFont="1" applyFill="1" applyAlignment="1">
      <alignment horizontal="center" wrapText="1"/>
    </xf>
    <xf numFmtId="164" fontId="41" fillId="6" borderId="8" xfId="0" applyNumberFormat="1" applyFont="1" applyFill="1" applyBorder="1" applyAlignment="1">
      <alignment horizontal="center" wrapText="1"/>
    </xf>
    <xf numFmtId="0" fontId="22" fillId="7" borderId="3" xfId="0" applyFont="1" applyFill="1" applyBorder="1" applyAlignment="1">
      <alignment horizontal="centerContinuous" wrapText="1"/>
    </xf>
    <xf numFmtId="0" fontId="9" fillId="7" borderId="1" xfId="0" applyFont="1" applyFill="1" applyBorder="1" applyAlignment="1">
      <alignment horizontal="centerContinuous" wrapText="1"/>
    </xf>
    <xf numFmtId="41" fontId="15" fillId="0" borderId="0" xfId="0" applyNumberFormat="1" applyFont="1"/>
    <xf numFmtId="7" fontId="9" fillId="0" borderId="7" xfId="0" applyNumberFormat="1" applyFont="1" applyBorder="1"/>
    <xf numFmtId="41" fontId="9" fillId="0" borderId="9" xfId="0" applyNumberFormat="1" applyFont="1" applyBorder="1" applyAlignment="1">
      <alignment horizontal="right" vertical="top"/>
    </xf>
    <xf numFmtId="41" fontId="9" fillId="0" borderId="11" xfId="0" applyNumberFormat="1" applyFont="1" applyBorder="1" applyAlignment="1">
      <alignment horizontal="right" vertical="top"/>
    </xf>
    <xf numFmtId="41" fontId="9" fillId="0" borderId="11" xfId="0" applyNumberFormat="1" applyFont="1" applyBorder="1"/>
    <xf numFmtId="41" fontId="9" fillId="0" borderId="10" xfId="0" applyNumberFormat="1" applyFont="1" applyBorder="1" applyAlignment="1">
      <alignment horizontal="right" vertical="top"/>
    </xf>
    <xf numFmtId="0" fontId="46" fillId="0" borderId="0" xfId="0" applyFont="1"/>
    <xf numFmtId="41" fontId="9" fillId="0" borderId="7" xfId="0" applyNumberFormat="1" applyFont="1" applyBorder="1"/>
    <xf numFmtId="41" fontId="8" fillId="3" borderId="7" xfId="0" applyNumberFormat="1" applyFont="1" applyFill="1" applyBorder="1" applyAlignment="1">
      <alignment vertical="top"/>
    </xf>
    <xf numFmtId="41" fontId="8" fillId="3" borderId="8" xfId="0" applyNumberFormat="1" applyFont="1" applyFill="1" applyBorder="1" applyAlignment="1">
      <alignment vertical="top"/>
    </xf>
    <xf numFmtId="0" fontId="0" fillId="3" borderId="0" xfId="0" applyFill="1"/>
    <xf numFmtId="0" fontId="44" fillId="3" borderId="0" xfId="0" applyFont="1" applyFill="1"/>
    <xf numFmtId="41" fontId="8" fillId="3" borderId="43" xfId="0" applyNumberFormat="1" applyFont="1" applyFill="1" applyBorder="1" applyAlignment="1">
      <alignment horizontal="right" vertical="top"/>
    </xf>
    <xf numFmtId="164" fontId="3" fillId="0" borderId="43" xfId="1" applyNumberFormat="1" applyFont="1" applyBorder="1" applyAlignment="1">
      <alignment horizontal="center" vertical="center"/>
    </xf>
    <xf numFmtId="41" fontId="14" fillId="0" borderId="43" xfId="1" applyNumberFormat="1" applyFont="1" applyBorder="1" applyAlignment="1">
      <alignment horizontal="right" vertical="top"/>
    </xf>
    <xf numFmtId="164" fontId="14" fillId="0" borderId="43" xfId="1" applyNumberFormat="1" applyFont="1" applyBorder="1" applyAlignment="1">
      <alignment horizontal="right" vertical="top"/>
    </xf>
    <xf numFmtId="9" fontId="3" fillId="0" borderId="43" xfId="1" applyFont="1" applyBorder="1" applyAlignment="1">
      <alignment horizontal="center" vertical="center"/>
    </xf>
    <xf numFmtId="41" fontId="14" fillId="0" borderId="43" xfId="1" applyNumberFormat="1" applyFont="1" applyBorder="1" applyAlignment="1">
      <alignment horizontal="center" vertical="center"/>
    </xf>
    <xf numFmtId="164" fontId="14" fillId="0" borderId="43" xfId="1" applyNumberFormat="1" applyFont="1" applyBorder="1" applyAlignment="1">
      <alignment horizontal="center" vertical="center"/>
    </xf>
    <xf numFmtId="41" fontId="22" fillId="3" borderId="43" xfId="1" applyNumberFormat="1" applyFont="1" applyFill="1" applyBorder="1" applyAlignment="1">
      <alignment horizontal="center" vertical="center"/>
    </xf>
    <xf numFmtId="164" fontId="3" fillId="0" borderId="44" xfId="1" applyNumberFormat="1" applyFont="1" applyBorder="1" applyAlignment="1">
      <alignment horizontal="center" vertical="center"/>
    </xf>
    <xf numFmtId="41" fontId="15" fillId="0" borderId="43" xfId="0" applyNumberFormat="1" applyFont="1" applyBorder="1" applyAlignment="1">
      <alignment horizontal="right" vertical="top"/>
    </xf>
    <xf numFmtId="41" fontId="8" fillId="0" borderId="43" xfId="0" applyNumberFormat="1" applyFont="1" applyBorder="1" applyAlignment="1">
      <alignment horizontal="right" vertical="top"/>
    </xf>
    <xf numFmtId="41" fontId="9" fillId="0" borderId="43" xfId="0" applyNumberFormat="1" applyFont="1" applyBorder="1" applyAlignment="1">
      <alignment horizontal="right" vertical="top"/>
    </xf>
    <xf numFmtId="0" fontId="9" fillId="0" borderId="43" xfId="0" applyFont="1" applyBorder="1"/>
    <xf numFmtId="7" fontId="9" fillId="0" borderId="43" xfId="0" applyNumberFormat="1" applyFont="1" applyBorder="1"/>
    <xf numFmtId="41" fontId="9" fillId="0" borderId="44" xfId="0" applyNumberFormat="1" applyFont="1" applyBorder="1" applyAlignment="1">
      <alignment horizontal="right" vertical="top"/>
    </xf>
    <xf numFmtId="164" fontId="7" fillId="0" borderId="43" xfId="1" applyNumberFormat="1" applyFont="1" applyFill="1" applyBorder="1"/>
    <xf numFmtId="164" fontId="7" fillId="0" borderId="43" xfId="1" applyNumberFormat="1" applyFont="1" applyBorder="1"/>
    <xf numFmtId="164" fontId="7" fillId="0" borderId="44" xfId="1" applyNumberFormat="1" applyFont="1" applyBorder="1"/>
    <xf numFmtId="41" fontId="9" fillId="0" borderId="43" xfId="0" applyNumberFormat="1" applyFont="1" applyBorder="1" applyAlignment="1">
      <alignment vertical="top"/>
    </xf>
    <xf numFmtId="0" fontId="7" fillId="0" borderId="43" xfId="0" applyFont="1" applyBorder="1"/>
    <xf numFmtId="41" fontId="8" fillId="3" borderId="43" xfId="0" applyNumberFormat="1" applyFont="1" applyFill="1" applyBorder="1" applyAlignment="1">
      <alignment vertical="top"/>
    </xf>
    <xf numFmtId="41" fontId="23" fillId="0" borderId="44" xfId="0" applyNumberFormat="1" applyFont="1" applyBorder="1" applyAlignment="1">
      <alignment horizontal="right" vertical="top"/>
    </xf>
    <xf numFmtId="41" fontId="7" fillId="0" borderId="43" xfId="0" applyNumberFormat="1" applyFont="1" applyBorder="1"/>
    <xf numFmtId="0" fontId="7" fillId="3" borderId="43" xfId="0" applyFont="1" applyFill="1" applyBorder="1"/>
    <xf numFmtId="0" fontId="16" fillId="3" borderId="43" xfId="0" applyFont="1" applyFill="1" applyBorder="1"/>
    <xf numFmtId="37" fontId="9" fillId="0" borderId="43" xfId="0" applyNumberFormat="1" applyFont="1" applyBorder="1"/>
    <xf numFmtId="0" fontId="16" fillId="0" borderId="43" xfId="0" applyFont="1" applyBorder="1"/>
    <xf numFmtId="0" fontId="7" fillId="3" borderId="44" xfId="0" applyFont="1" applyFill="1" applyBorder="1"/>
    <xf numFmtId="166" fontId="7" fillId="0" borderId="43" xfId="0" applyNumberFormat="1" applyFont="1" applyBorder="1"/>
    <xf numFmtId="166" fontId="16" fillId="0" borderId="43" xfId="0" applyNumberFormat="1" applyFont="1" applyBorder="1"/>
    <xf numFmtId="9" fontId="7" fillId="0" borderId="43" xfId="1" applyFont="1" applyBorder="1"/>
    <xf numFmtId="41" fontId="16" fillId="0" borderId="43" xfId="0" applyNumberFormat="1" applyFont="1" applyBorder="1"/>
    <xf numFmtId="10" fontId="7" fillId="0" borderId="43" xfId="1" applyNumberFormat="1" applyFont="1" applyBorder="1"/>
    <xf numFmtId="10" fontId="7" fillId="0" borderId="44" xfId="1" applyNumberFormat="1" applyFont="1" applyFill="1" applyBorder="1"/>
    <xf numFmtId="0" fontId="0" fillId="3" borderId="45" xfId="0" applyFill="1" applyBorder="1"/>
    <xf numFmtId="0" fontId="0" fillId="3" borderId="13" xfId="0" applyFill="1" applyBorder="1"/>
    <xf numFmtId="41" fontId="7" fillId="0" borderId="3" xfId="0" applyNumberFormat="1" applyFont="1" applyBorder="1"/>
    <xf numFmtId="164" fontId="27" fillId="0" borderId="0" xfId="1" applyNumberFormat="1" applyFont="1" applyBorder="1" applyAlignment="1">
      <alignment horizontal="center" wrapText="1"/>
    </xf>
    <xf numFmtId="10" fontId="27" fillId="0" borderId="0" xfId="1" applyNumberFormat="1" applyFont="1" applyBorder="1" applyAlignment="1">
      <alignment horizontal="center" wrapText="1"/>
    </xf>
    <xf numFmtId="9" fontId="47" fillId="0" borderId="0" xfId="1" applyFont="1" applyBorder="1" applyAlignment="1">
      <alignment horizontal="right" wrapText="1"/>
    </xf>
    <xf numFmtId="0" fontId="26" fillId="0" borderId="0" xfId="0" applyFont="1" applyAlignment="1">
      <alignment wrapText="1"/>
    </xf>
    <xf numFmtId="0" fontId="26" fillId="0" borderId="4" xfId="0" applyFont="1" applyBorder="1" applyAlignment="1">
      <alignment wrapText="1"/>
    </xf>
    <xf numFmtId="0" fontId="26" fillId="0" borderId="5" xfId="0" applyFont="1" applyBorder="1" applyAlignment="1">
      <alignment wrapText="1"/>
    </xf>
    <xf numFmtId="0" fontId="26" fillId="0" borderId="6" xfId="0" applyFont="1" applyBorder="1" applyAlignment="1">
      <alignment wrapText="1"/>
    </xf>
    <xf numFmtId="0" fontId="34" fillId="0" borderId="7" xfId="0" applyFont="1" applyBorder="1" applyAlignment="1">
      <alignment horizontal="centerContinuous" wrapText="1"/>
    </xf>
    <xf numFmtId="0" fontId="34" fillId="0" borderId="0" xfId="0" applyFont="1" applyAlignment="1">
      <alignment horizontal="centerContinuous" wrapText="1"/>
    </xf>
    <xf numFmtId="0" fontId="34" fillId="0" borderId="8" xfId="0" applyFont="1" applyBorder="1" applyAlignment="1">
      <alignment horizontal="centerContinuous" wrapText="1"/>
    </xf>
    <xf numFmtId="0" fontId="26" fillId="0" borderId="7" xfId="0" applyFont="1" applyBorder="1" applyAlignment="1">
      <alignment horizontal="centerContinuous" wrapText="1"/>
    </xf>
    <xf numFmtId="0" fontId="26" fillId="0" borderId="0" xfId="0" applyFont="1" applyAlignment="1">
      <alignment horizontal="centerContinuous" wrapText="1"/>
    </xf>
    <xf numFmtId="0" fontId="26" fillId="0" borderId="8" xfId="0" applyFont="1" applyBorder="1" applyAlignment="1">
      <alignment horizontal="centerContinuous" wrapText="1"/>
    </xf>
    <xf numFmtId="0" fontId="21" fillId="0" borderId="7" xfId="0" applyFont="1" applyBorder="1" applyAlignment="1">
      <alignment horizontal="centerContinuous" wrapText="1"/>
    </xf>
    <xf numFmtId="0" fontId="24" fillId="5" borderId="0" xfId="0" applyFont="1" applyFill="1" applyAlignment="1">
      <alignment wrapText="1"/>
    </xf>
    <xf numFmtId="0" fontId="24" fillId="5" borderId="0" xfId="0" applyFont="1" applyFill="1" applyAlignment="1">
      <alignment horizontal="fill" wrapText="1"/>
    </xf>
    <xf numFmtId="0" fontId="25" fillId="5" borderId="0" xfId="0" applyFont="1" applyFill="1" applyAlignment="1">
      <alignment horizontal="fill" wrapText="1"/>
    </xf>
    <xf numFmtId="0" fontId="25" fillId="5" borderId="0" xfId="0" applyFont="1" applyFill="1" applyAlignment="1">
      <alignment wrapText="1"/>
    </xf>
    <xf numFmtId="0" fontId="26" fillId="0" borderId="7" xfId="0" applyFont="1" applyBorder="1" applyAlignment="1">
      <alignment wrapText="1"/>
    </xf>
    <xf numFmtId="0" fontId="26" fillId="0" borderId="8" xfId="0" applyFont="1" applyBorder="1" applyAlignment="1">
      <alignment wrapText="1"/>
    </xf>
    <xf numFmtId="175" fontId="26" fillId="0" borderId="0" xfId="0" applyNumberFormat="1" applyFont="1" applyAlignment="1">
      <alignment horizontal="right" wrapText="1"/>
    </xf>
    <xf numFmtId="9" fontId="26" fillId="0" borderId="0" xfId="0" applyNumberFormat="1" applyFont="1" applyAlignment="1">
      <alignment wrapText="1"/>
    </xf>
    <xf numFmtId="0" fontId="27" fillId="0" borderId="0" xfId="0" applyFont="1" applyAlignment="1">
      <alignment horizontal="center" wrapText="1"/>
    </xf>
    <xf numFmtId="175" fontId="26" fillId="0" borderId="0" xfId="0" applyNumberFormat="1" applyFont="1" applyAlignment="1">
      <alignment wrapText="1"/>
    </xf>
    <xf numFmtId="0" fontId="21" fillId="0" borderId="7" xfId="0" applyFont="1" applyBorder="1" applyAlignment="1">
      <alignment horizontal="left" wrapText="1"/>
    </xf>
    <xf numFmtId="0" fontId="7" fillId="0" borderId="8" xfId="0" applyFont="1" applyBorder="1" applyAlignment="1">
      <alignment wrapText="1"/>
    </xf>
    <xf numFmtId="176" fontId="7" fillId="0" borderId="0" xfId="0" applyNumberFormat="1" applyFont="1" applyAlignment="1">
      <alignment horizontal="right" wrapText="1"/>
    </xf>
    <xf numFmtId="37" fontId="26" fillId="0" borderId="0" xfId="0" applyNumberFormat="1" applyFont="1" applyAlignment="1">
      <alignment wrapText="1"/>
    </xf>
    <xf numFmtId="2" fontId="26" fillId="0" borderId="0" xfId="0" applyNumberFormat="1" applyFont="1" applyAlignment="1">
      <alignment horizontal="right" wrapText="1"/>
    </xf>
    <xf numFmtId="2" fontId="26" fillId="0" borderId="0" xfId="0" applyNumberFormat="1" applyFont="1" applyAlignment="1">
      <alignment wrapText="1"/>
    </xf>
    <xf numFmtId="10" fontId="26" fillId="0" borderId="0" xfId="0" applyNumberFormat="1" applyFont="1" applyAlignment="1">
      <alignment horizontal="right" wrapText="1"/>
    </xf>
    <xf numFmtId="44" fontId="26" fillId="0" borderId="0" xfId="0" applyNumberFormat="1" applyFont="1" applyAlignment="1">
      <alignment wrapText="1"/>
    </xf>
    <xf numFmtId="0" fontId="27" fillId="0" borderId="7" xfId="0" applyFont="1" applyBorder="1" applyAlignment="1">
      <alignment horizontal="center" wrapText="1"/>
    </xf>
    <xf numFmtId="0" fontId="36" fillId="0" borderId="0" xfId="0" applyFont="1" applyAlignment="1">
      <alignment horizontal="center" wrapText="1"/>
    </xf>
    <xf numFmtId="0" fontId="36" fillId="0" borderId="0" xfId="0" applyFont="1" applyAlignment="1">
      <alignment horizontal="right" wrapText="1"/>
    </xf>
    <xf numFmtId="9" fontId="26" fillId="0" borderId="0" xfId="0" applyNumberFormat="1" applyFont="1" applyAlignment="1">
      <alignment horizontal="right" wrapText="1"/>
    </xf>
    <xf numFmtId="0" fontId="27" fillId="0" borderId="7" xfId="0" applyFont="1" applyBorder="1" applyAlignment="1">
      <alignment wrapText="1"/>
    </xf>
    <xf numFmtId="175" fontId="22" fillId="0" borderId="0" xfId="0" applyNumberFormat="1" applyFont="1" applyAlignment="1">
      <alignment wrapText="1"/>
    </xf>
    <xf numFmtId="0" fontId="7" fillId="0" borderId="7" xfId="0" applyFont="1" applyBorder="1" applyAlignment="1">
      <alignment wrapText="1"/>
    </xf>
    <xf numFmtId="0" fontId="27" fillId="0" borderId="0" xfId="0" applyFont="1" applyAlignment="1">
      <alignment wrapText="1"/>
    </xf>
    <xf numFmtId="175" fontId="26" fillId="0" borderId="0" xfId="0" applyNumberFormat="1" applyFont="1" applyAlignment="1">
      <alignment horizontal="center" wrapText="1"/>
    </xf>
    <xf numFmtId="175" fontId="28" fillId="0" borderId="0" xfId="0" applyNumberFormat="1" applyFont="1" applyAlignment="1">
      <alignment horizontal="center" wrapText="1"/>
    </xf>
    <xf numFmtId="0" fontId="28" fillId="0" borderId="0" xfId="0" applyFont="1" applyAlignment="1">
      <alignment wrapText="1"/>
    </xf>
    <xf numFmtId="0" fontId="28" fillId="0" borderId="8" xfId="0" applyFont="1" applyBorder="1" applyAlignment="1">
      <alignment wrapText="1"/>
    </xf>
    <xf numFmtId="0" fontId="26" fillId="0" borderId="0" xfId="0" applyFont="1" applyAlignment="1">
      <alignment horizontal="right" wrapText="1"/>
    </xf>
    <xf numFmtId="9" fontId="26" fillId="0" borderId="7" xfId="0" applyNumberFormat="1" applyFont="1" applyBorder="1" applyAlignment="1">
      <alignment horizontal="right" wrapText="1"/>
    </xf>
    <xf numFmtId="0" fontId="0" fillId="0" borderId="0" xfId="0" applyAlignment="1">
      <alignment vertical="center" wrapText="1"/>
    </xf>
    <xf numFmtId="0" fontId="1" fillId="0" borderId="0" xfId="0" applyFont="1" applyAlignment="1">
      <alignment vertical="center" wrapText="1"/>
    </xf>
    <xf numFmtId="0" fontId="26" fillId="0" borderId="7" xfId="0" applyFont="1" applyBorder="1" applyAlignment="1">
      <alignment horizontal="left" wrapText="1"/>
    </xf>
    <xf numFmtId="37" fontId="26" fillId="0" borderId="0" xfId="0" applyNumberFormat="1" applyFont="1" applyAlignment="1">
      <alignment horizontal="center" wrapText="1"/>
    </xf>
    <xf numFmtId="164" fontId="26" fillId="0" borderId="0" xfId="0" applyNumberFormat="1" applyFont="1" applyAlignment="1">
      <alignment horizontal="center" wrapText="1"/>
    </xf>
    <xf numFmtId="175" fontId="25" fillId="0" borderId="0" xfId="0" applyNumberFormat="1" applyFont="1" applyAlignment="1">
      <alignment horizontal="center" wrapText="1"/>
    </xf>
    <xf numFmtId="0" fontId="36" fillId="0" borderId="7" xfId="0" applyFont="1" applyBorder="1" applyAlignment="1">
      <alignment wrapText="1"/>
    </xf>
    <xf numFmtId="177" fontId="36" fillId="0" borderId="0" xfId="0" applyNumberFormat="1" applyFont="1" applyAlignment="1">
      <alignment horizontal="center" wrapText="1"/>
    </xf>
    <xf numFmtId="178" fontId="36" fillId="0" borderId="0" xfId="0" applyNumberFormat="1" applyFont="1" applyAlignment="1">
      <alignment horizontal="center" wrapText="1"/>
    </xf>
    <xf numFmtId="0" fontId="27" fillId="0" borderId="0" xfId="0" applyFont="1" applyAlignment="1">
      <alignment horizontal="center" vertical="center" wrapText="1"/>
    </xf>
    <xf numFmtId="41" fontId="26" fillId="0" borderId="0" xfId="0" applyNumberFormat="1" applyFont="1" applyAlignment="1">
      <alignment horizontal="right" wrapText="1"/>
    </xf>
    <xf numFmtId="10" fontId="37" fillId="0" borderId="7" xfId="1" applyNumberFormat="1" applyFont="1" applyBorder="1" applyAlignment="1">
      <alignment horizontal="left" wrapText="1"/>
    </xf>
    <xf numFmtId="10" fontId="27" fillId="0" borderId="0" xfId="0" applyNumberFormat="1" applyFont="1" applyAlignment="1">
      <alignment horizontal="center" wrapText="1"/>
    </xf>
    <xf numFmtId="178" fontId="36" fillId="0" borderId="0" xfId="0" applyNumberFormat="1" applyFont="1" applyAlignment="1">
      <alignment horizontal="right" wrapText="1"/>
    </xf>
    <xf numFmtId="179" fontId="27" fillId="0" borderId="0" xfId="0" applyNumberFormat="1" applyFont="1" applyAlignment="1">
      <alignment horizontal="center" wrapText="1"/>
    </xf>
    <xf numFmtId="180" fontId="26" fillId="0" borderId="0" xfId="0" applyNumberFormat="1" applyFont="1" applyAlignment="1">
      <alignment horizontal="right" wrapText="1"/>
    </xf>
    <xf numFmtId="0" fontId="37" fillId="0" borderId="7" xfId="0" applyFont="1" applyBorder="1" applyAlignment="1">
      <alignment horizontal="left" wrapText="1"/>
    </xf>
    <xf numFmtId="166" fontId="26" fillId="0" borderId="0" xfId="0" applyNumberFormat="1" applyFont="1" applyAlignment="1">
      <alignment horizontal="right" wrapText="1"/>
    </xf>
    <xf numFmtId="170" fontId="26" fillId="0" borderId="0" xfId="0" applyNumberFormat="1" applyFont="1" applyAlignment="1">
      <alignment horizontal="right" wrapText="1"/>
    </xf>
    <xf numFmtId="0" fontId="35" fillId="0" borderId="0" xfId="0" applyFont="1" applyAlignment="1">
      <alignment horizontal="center" wrapText="1"/>
    </xf>
    <xf numFmtId="181" fontId="36" fillId="0" borderId="0" xfId="0" applyNumberFormat="1" applyFont="1" applyAlignment="1">
      <alignment horizontal="center" wrapText="1"/>
    </xf>
    <xf numFmtId="175" fontId="27" fillId="0" borderId="0" xfId="0" applyNumberFormat="1" applyFont="1" applyAlignment="1">
      <alignment horizontal="center" wrapText="1"/>
    </xf>
    <xf numFmtId="178" fontId="26" fillId="0" borderId="7" xfId="0" applyNumberFormat="1" applyFont="1" applyBorder="1" applyAlignment="1">
      <alignment horizontal="left" wrapText="1"/>
    </xf>
    <xf numFmtId="178" fontId="27" fillId="0" borderId="0" xfId="0" applyNumberFormat="1" applyFont="1" applyAlignment="1">
      <alignment horizontal="left" wrapText="1"/>
    </xf>
    <xf numFmtId="182" fontId="26" fillId="0" borderId="0" xfId="0" applyNumberFormat="1" applyFont="1" applyAlignment="1">
      <alignment horizontal="center" wrapText="1"/>
    </xf>
    <xf numFmtId="168" fontId="26" fillId="6" borderId="0" xfId="0" applyNumberFormat="1" applyFont="1" applyFill="1" applyAlignment="1">
      <alignment horizontal="center" wrapText="1"/>
    </xf>
    <xf numFmtId="0" fontId="36" fillId="0" borderId="7" xfId="0" applyFont="1" applyBorder="1" applyAlignment="1">
      <alignment horizontal="left" wrapText="1"/>
    </xf>
    <xf numFmtId="0" fontId="36" fillId="0" borderId="0" xfId="0" applyFont="1" applyAlignment="1">
      <alignment horizontal="centerContinuous" wrapText="1"/>
    </xf>
    <xf numFmtId="0" fontId="26" fillId="0" borderId="0" xfId="0" applyFont="1" applyAlignment="1">
      <alignment horizontal="center" wrapText="1"/>
    </xf>
    <xf numFmtId="9" fontId="26" fillId="0" borderId="11" xfId="1" applyFont="1" applyBorder="1" applyAlignment="1">
      <alignment horizontal="right" wrapText="1"/>
    </xf>
    <xf numFmtId="0" fontId="26" fillId="0" borderId="11" xfId="0" applyFont="1" applyBorder="1" applyAlignment="1">
      <alignment wrapText="1"/>
    </xf>
    <xf numFmtId="0" fontId="26" fillId="0" borderId="10" xfId="0" applyFont="1" applyBorder="1" applyAlignment="1">
      <alignment wrapText="1"/>
    </xf>
    <xf numFmtId="169" fontId="26" fillId="0" borderId="0" xfId="0" applyNumberFormat="1" applyFont="1" applyAlignment="1">
      <alignment wrapText="1"/>
    </xf>
    <xf numFmtId="43" fontId="0" fillId="0" borderId="0" xfId="3" applyNumberFormat="1" applyFont="1" applyBorder="1" applyAlignment="1">
      <alignment vertical="center" wrapText="1"/>
    </xf>
    <xf numFmtId="0" fontId="48" fillId="5" borderId="7" xfId="0" applyFont="1" applyFill="1" applyBorder="1" applyAlignment="1">
      <alignment wrapText="1"/>
    </xf>
    <xf numFmtId="0" fontId="48" fillId="5" borderId="0" xfId="0" applyFont="1" applyFill="1" applyAlignment="1">
      <alignment horizontal="right" wrapText="1"/>
    </xf>
    <xf numFmtId="0" fontId="0" fillId="0" borderId="13" xfId="0" applyBorder="1"/>
    <xf numFmtId="0" fontId="0" fillId="3" borderId="43" xfId="0" applyFill="1" applyBorder="1"/>
    <xf numFmtId="43" fontId="7" fillId="6" borderId="0" xfId="0" applyNumberFormat="1" applyFont="1" applyFill="1"/>
    <xf numFmtId="9" fontId="7" fillId="6" borderId="0" xfId="0" applyNumberFormat="1" applyFont="1" applyFill="1"/>
    <xf numFmtId="0" fontId="20" fillId="0" borderId="0" xfId="0" applyFont="1" applyAlignment="1">
      <alignment horizontal="center" vertical="center" wrapText="1"/>
    </xf>
    <xf numFmtId="0" fontId="49" fillId="0" borderId="13" xfId="0" applyFont="1" applyBorder="1" applyAlignment="1">
      <alignment vertical="top"/>
    </xf>
    <xf numFmtId="0" fontId="0" fillId="0" borderId="0" xfId="0" applyBorder="1" applyAlignment="1">
      <alignment wrapText="1"/>
    </xf>
    <xf numFmtId="41" fontId="7" fillId="6" borderId="0" xfId="0" applyNumberFormat="1" applyFont="1" applyFill="1" applyBorder="1" applyAlignment="1">
      <alignment wrapText="1"/>
    </xf>
    <xf numFmtId="0" fontId="7" fillId="7" borderId="47" xfId="0" applyFont="1" applyFill="1" applyBorder="1" applyAlignment="1">
      <alignment wrapText="1"/>
    </xf>
    <xf numFmtId="0" fontId="7" fillId="7" borderId="46" xfId="0" applyFont="1" applyFill="1" applyBorder="1" applyAlignment="1">
      <alignment wrapText="1"/>
    </xf>
    <xf numFmtId="41" fontId="18" fillId="11" borderId="24" xfId="0" applyNumberFormat="1" applyFont="1" applyFill="1" applyBorder="1" applyAlignment="1">
      <alignment wrapText="1"/>
    </xf>
    <xf numFmtId="41" fontId="17" fillId="0" borderId="26" xfId="0" applyNumberFormat="1" applyFont="1" applyBorder="1"/>
    <xf numFmtId="41" fontId="17" fillId="6" borderId="24" xfId="0" applyNumberFormat="1" applyFont="1" applyFill="1" applyBorder="1" applyAlignment="1">
      <alignment wrapText="1"/>
    </xf>
    <xf numFmtId="44" fontId="17" fillId="11" borderId="27" xfId="0" applyNumberFormat="1" applyFont="1" applyFill="1" applyBorder="1" applyAlignment="1">
      <alignment horizontal="right" wrapText="1"/>
    </xf>
    <xf numFmtId="41" fontId="18" fillId="11" borderId="32" xfId="0" applyNumberFormat="1" applyFont="1" applyFill="1" applyBorder="1" applyAlignment="1">
      <alignment wrapText="1"/>
    </xf>
    <xf numFmtId="41" fontId="17" fillId="11" borderId="34" xfId="0" applyNumberFormat="1" applyFont="1" applyFill="1" applyBorder="1" applyAlignment="1">
      <alignment wrapText="1"/>
    </xf>
    <xf numFmtId="41" fontId="17" fillId="6" borderId="34" xfId="0" applyNumberFormat="1" applyFont="1" applyFill="1" applyBorder="1" applyAlignment="1">
      <alignment wrapText="1"/>
    </xf>
    <xf numFmtId="41" fontId="7" fillId="6" borderId="27" xfId="0" applyNumberFormat="1" applyFont="1" applyFill="1" applyBorder="1" applyAlignment="1">
      <alignment wrapText="1"/>
    </xf>
    <xf numFmtId="44" fontId="7" fillId="6" borderId="27" xfId="3" applyFont="1" applyFill="1" applyBorder="1" applyAlignment="1">
      <alignment wrapText="1"/>
    </xf>
    <xf numFmtId="41" fontId="7" fillId="6" borderId="32" xfId="0" applyNumberFormat="1" applyFont="1" applyFill="1" applyBorder="1" applyAlignment="1">
      <alignment wrapText="1"/>
    </xf>
    <xf numFmtId="41" fontId="16" fillId="8" borderId="48" xfId="0" applyNumberFormat="1" applyFont="1" applyFill="1" applyBorder="1" applyAlignment="1">
      <alignment wrapText="1"/>
    </xf>
    <xf numFmtId="44" fontId="17" fillId="11" borderId="23" xfId="0" applyNumberFormat="1" applyFont="1" applyFill="1" applyBorder="1" applyAlignment="1">
      <alignment horizontal="right" wrapText="1"/>
    </xf>
    <xf numFmtId="44" fontId="7" fillId="6" borderId="23" xfId="3" applyFont="1" applyFill="1" applyBorder="1" applyAlignment="1">
      <alignment wrapText="1"/>
    </xf>
    <xf numFmtId="41" fontId="7" fillId="6" borderId="29" xfId="0" applyNumberFormat="1" applyFont="1" applyFill="1" applyBorder="1" applyAlignment="1">
      <alignment wrapText="1"/>
    </xf>
    <xf numFmtId="41" fontId="16" fillId="8" borderId="41" xfId="0" applyNumberFormat="1" applyFont="1" applyFill="1" applyBorder="1" applyAlignment="1">
      <alignment wrapText="1"/>
    </xf>
    <xf numFmtId="0" fontId="7" fillId="7" borderId="5" xfId="0" applyFont="1" applyFill="1" applyBorder="1" applyAlignment="1">
      <alignment wrapText="1"/>
    </xf>
    <xf numFmtId="41" fontId="16" fillId="8" borderId="0" xfId="0" applyNumberFormat="1" applyFont="1" applyFill="1" applyBorder="1" applyAlignment="1">
      <alignment wrapText="1"/>
    </xf>
    <xf numFmtId="41" fontId="18" fillId="11" borderId="23" xfId="0" applyNumberFormat="1" applyFont="1" applyFill="1" applyBorder="1" applyAlignment="1">
      <alignment wrapText="1"/>
    </xf>
    <xf numFmtId="41" fontId="17" fillId="0" borderId="29" xfId="0" applyNumberFormat="1" applyFont="1" applyBorder="1"/>
    <xf numFmtId="41" fontId="17" fillId="6" borderId="23" xfId="0" applyNumberFormat="1" applyFont="1" applyFill="1" applyBorder="1" applyAlignment="1">
      <alignment wrapText="1"/>
    </xf>
    <xf numFmtId="44" fontId="17" fillId="11" borderId="25" xfId="0" applyNumberFormat="1" applyFont="1" applyFill="1" applyBorder="1" applyAlignment="1">
      <alignment horizontal="right" wrapText="1"/>
    </xf>
    <xf numFmtId="41" fontId="18" fillId="11" borderId="25" xfId="0" applyNumberFormat="1" applyFont="1" applyFill="1" applyBorder="1" applyAlignment="1">
      <alignment wrapText="1"/>
    </xf>
    <xf numFmtId="41" fontId="17" fillId="0" borderId="49" xfId="0" applyNumberFormat="1" applyFont="1" applyBorder="1"/>
    <xf numFmtId="41" fontId="17" fillId="6" borderId="25" xfId="0" applyNumberFormat="1" applyFont="1" applyFill="1" applyBorder="1" applyAlignment="1">
      <alignment wrapText="1"/>
    </xf>
    <xf numFmtId="41" fontId="7" fillId="6" borderId="25" xfId="0" applyNumberFormat="1" applyFont="1" applyFill="1" applyBorder="1" applyAlignment="1">
      <alignment wrapText="1"/>
    </xf>
    <xf numFmtId="44" fontId="7" fillId="6" borderId="25" xfId="3" applyFont="1" applyFill="1" applyBorder="1" applyAlignment="1">
      <alignment wrapText="1"/>
    </xf>
    <xf numFmtId="41" fontId="7" fillId="6" borderId="49" xfId="0" applyNumberFormat="1" applyFont="1" applyFill="1" applyBorder="1" applyAlignment="1">
      <alignment wrapText="1"/>
    </xf>
    <xf numFmtId="41" fontId="16" fillId="8" borderId="37" xfId="0" applyNumberFormat="1" applyFont="1" applyFill="1" applyBorder="1" applyAlignment="1">
      <alignment wrapText="1"/>
    </xf>
    <xf numFmtId="0" fontId="13" fillId="5" borderId="1" xfId="0" applyFont="1" applyFill="1" applyBorder="1"/>
    <xf numFmtId="0" fontId="30" fillId="5" borderId="1" xfId="0" applyFont="1" applyFill="1" applyBorder="1"/>
    <xf numFmtId="0" fontId="0" fillId="0" borderId="0" xfId="0" applyFont="1"/>
    <xf numFmtId="0" fontId="8" fillId="7" borderId="3" xfId="0" applyFont="1" applyFill="1" applyBorder="1"/>
    <xf numFmtId="0" fontId="8" fillId="7" borderId="1" xfId="0" applyFont="1" applyFill="1" applyBorder="1" applyAlignment="1">
      <alignment horizontal="center"/>
    </xf>
    <xf numFmtId="0" fontId="8" fillId="7" borderId="2" xfId="0" applyFont="1" applyFill="1" applyBorder="1" applyAlignment="1">
      <alignment horizontal="center"/>
    </xf>
    <xf numFmtId="0" fontId="8" fillId="7" borderId="3" xfId="0" applyFont="1" applyFill="1" applyBorder="1" applyAlignment="1">
      <alignment horizontal="center"/>
    </xf>
    <xf numFmtId="167" fontId="7" fillId="6" borderId="5" xfId="2" applyNumberFormat="1" applyFont="1" applyFill="1" applyBorder="1" applyAlignment="1">
      <alignment horizontal="right" vertical="top"/>
    </xf>
    <xf numFmtId="0" fontId="16" fillId="6" borderId="4" xfId="0" applyFont="1" applyFill="1" applyBorder="1"/>
    <xf numFmtId="168" fontId="9" fillId="6" borderId="5" xfId="0" applyNumberFormat="1" applyFont="1" applyFill="1" applyBorder="1" applyAlignment="1">
      <alignment horizontal="center"/>
    </xf>
    <xf numFmtId="168" fontId="9" fillId="6" borderId="6" xfId="0" applyNumberFormat="1" applyFont="1" applyFill="1" applyBorder="1" applyAlignment="1">
      <alignment horizontal="center"/>
    </xf>
    <xf numFmtId="169" fontId="7" fillId="6" borderId="10" xfId="0" applyNumberFormat="1" applyFont="1" applyFill="1" applyBorder="1" applyAlignment="1">
      <alignment horizontal="center"/>
    </xf>
    <xf numFmtId="168" fontId="7" fillId="6" borderId="0" xfId="0" applyNumberFormat="1" applyFont="1" applyFill="1" applyAlignment="1">
      <alignment horizontal="right" vertical="top"/>
    </xf>
    <xf numFmtId="168" fontId="7" fillId="6" borderId="8" xfId="0" applyNumberFormat="1" applyFont="1" applyFill="1" applyBorder="1" applyAlignment="1">
      <alignment horizontal="right" vertical="top"/>
    </xf>
    <xf numFmtId="0" fontId="16" fillId="6" borderId="7" xfId="0" applyFont="1" applyFill="1" applyBorder="1"/>
    <xf numFmtId="168" fontId="9" fillId="6" borderId="0" xfId="0" applyNumberFormat="1" applyFont="1" applyFill="1" applyAlignment="1">
      <alignment horizontal="center"/>
    </xf>
    <xf numFmtId="168" fontId="9" fillId="6" borderId="8" xfId="0" applyNumberFormat="1" applyFont="1" applyFill="1" applyBorder="1" applyAlignment="1">
      <alignment horizontal="center"/>
    </xf>
    <xf numFmtId="0" fontId="7" fillId="4" borderId="4" xfId="0" applyFont="1" applyFill="1" applyBorder="1"/>
    <xf numFmtId="169" fontId="7" fillId="4" borderId="6" xfId="0" applyNumberFormat="1" applyFont="1" applyFill="1" applyBorder="1" applyAlignment="1">
      <alignment horizontal="center"/>
    </xf>
    <xf numFmtId="167" fontId="7" fillId="6" borderId="0" xfId="2" applyNumberFormat="1" applyFont="1" applyFill="1" applyAlignment="1">
      <alignment horizontal="right" vertical="top"/>
    </xf>
    <xf numFmtId="0" fontId="16" fillId="6" borderId="9" xfId="0" applyFont="1" applyFill="1" applyBorder="1"/>
    <xf numFmtId="168" fontId="9" fillId="6" borderId="11" xfId="0" applyNumberFormat="1" applyFont="1" applyFill="1" applyBorder="1" applyAlignment="1">
      <alignment horizontal="center"/>
    </xf>
    <xf numFmtId="168" fontId="9" fillId="6" borderId="10" xfId="0" applyNumberFormat="1" applyFont="1" applyFill="1" applyBorder="1" applyAlignment="1">
      <alignment horizontal="center"/>
    </xf>
    <xf numFmtId="0" fontId="8" fillId="4" borderId="3" xfId="0" applyFont="1" applyFill="1" applyBorder="1"/>
    <xf numFmtId="10" fontId="8" fillId="4" borderId="2" xfId="0" applyNumberFormat="1" applyFont="1" applyFill="1" applyBorder="1" applyAlignment="1">
      <alignment horizontal="center"/>
    </xf>
    <xf numFmtId="0" fontId="7" fillId="6" borderId="7" xfId="0" quotePrefix="1" applyFont="1" applyFill="1" applyBorder="1"/>
    <xf numFmtId="169" fontId="7" fillId="6" borderId="5" xfId="0" applyNumberFormat="1" applyFont="1" applyFill="1" applyBorder="1" applyAlignment="1">
      <alignment horizontal="center"/>
    </xf>
    <xf numFmtId="164" fontId="9" fillId="6" borderId="6" xfId="1" applyNumberFormat="1" applyFont="1" applyFill="1" applyBorder="1" applyAlignment="1">
      <alignment horizontal="center"/>
    </xf>
    <xf numFmtId="169" fontId="7" fillId="6" borderId="0" xfId="0" applyNumberFormat="1" applyFont="1" applyFill="1" applyAlignment="1">
      <alignment horizontal="center"/>
    </xf>
    <xf numFmtId="167" fontId="7" fillId="6" borderId="11" xfId="2" applyNumberFormat="1" applyFont="1" applyFill="1" applyBorder="1" applyAlignment="1">
      <alignment horizontal="right" vertical="top"/>
    </xf>
    <xf numFmtId="164" fontId="9" fillId="6" borderId="8" xfId="1" applyNumberFormat="1" applyFont="1" applyFill="1" applyBorder="1" applyAlignment="1">
      <alignment horizontal="center"/>
    </xf>
    <xf numFmtId="0" fontId="16" fillId="6" borderId="3" xfId="0" applyFont="1" applyFill="1" applyBorder="1"/>
    <xf numFmtId="169" fontId="16" fillId="6" borderId="1" xfId="0" applyNumberFormat="1" applyFont="1" applyFill="1" applyBorder="1"/>
    <xf numFmtId="169" fontId="16" fillId="6" borderId="2" xfId="0" applyNumberFormat="1" applyFont="1" applyFill="1" applyBorder="1"/>
    <xf numFmtId="169" fontId="7" fillId="6" borderId="11" xfId="0" applyNumberFormat="1" applyFont="1" applyFill="1" applyBorder="1" applyAlignment="1">
      <alignment horizontal="center"/>
    </xf>
    <xf numFmtId="164" fontId="9" fillId="6" borderId="10" xfId="1" applyNumberFormat="1" applyFont="1" applyFill="1" applyBorder="1" applyAlignment="1">
      <alignment horizontal="center"/>
    </xf>
    <xf numFmtId="169" fontId="7" fillId="6" borderId="0" xfId="0" applyNumberFormat="1" applyFont="1" applyFill="1"/>
    <xf numFmtId="167" fontId="7" fillId="6" borderId="5" xfId="2" applyNumberFormat="1" applyFont="1" applyFill="1" applyBorder="1" applyAlignment="1">
      <alignment horizontal="right"/>
    </xf>
    <xf numFmtId="167" fontId="7" fillId="6" borderId="8" xfId="2" applyNumberFormat="1" applyFont="1" applyFill="1" applyBorder="1" applyAlignment="1">
      <alignment horizontal="right"/>
    </xf>
    <xf numFmtId="168" fontId="7" fillId="6" borderId="0" xfId="0" applyNumberFormat="1" applyFont="1" applyFill="1" applyAlignment="1">
      <alignment horizontal="right"/>
    </xf>
    <xf numFmtId="168" fontId="7" fillId="6" borderId="8" xfId="0" applyNumberFormat="1" applyFont="1" applyFill="1" applyBorder="1" applyAlignment="1">
      <alignment horizontal="right"/>
    </xf>
    <xf numFmtId="0" fontId="9" fillId="6" borderId="4" xfId="0" applyFont="1" applyFill="1" applyBorder="1"/>
    <xf numFmtId="169" fontId="9" fillId="6" borderId="5" xfId="0" applyNumberFormat="1" applyFont="1" applyFill="1" applyBorder="1" applyAlignment="1">
      <alignment horizontal="center"/>
    </xf>
    <xf numFmtId="169" fontId="9" fillId="6" borderId="8" xfId="0" applyNumberFormat="1" applyFont="1" applyFill="1" applyBorder="1" applyAlignment="1">
      <alignment horizontal="center"/>
    </xf>
    <xf numFmtId="169" fontId="30" fillId="6" borderId="0" xfId="0" applyNumberFormat="1" applyFont="1" applyFill="1"/>
    <xf numFmtId="167" fontId="7" fillId="6" borderId="0" xfId="2" applyNumberFormat="1" applyFont="1" applyFill="1" applyAlignment="1">
      <alignment horizontal="right"/>
    </xf>
    <xf numFmtId="0" fontId="9" fillId="6" borderId="9" xfId="0" applyFont="1" applyFill="1" applyBorder="1"/>
    <xf numFmtId="164" fontId="9" fillId="6" borderId="11" xfId="1" applyNumberFormat="1" applyFont="1" applyFill="1" applyBorder="1" applyAlignment="1">
      <alignment horizontal="center"/>
    </xf>
    <xf numFmtId="9" fontId="9" fillId="6" borderId="11" xfId="1" applyFont="1" applyFill="1" applyBorder="1" applyAlignment="1">
      <alignment horizontal="center"/>
    </xf>
    <xf numFmtId="9" fontId="9" fillId="6" borderId="10" xfId="1" applyFont="1" applyFill="1" applyBorder="1" applyAlignment="1">
      <alignment horizontal="center"/>
    </xf>
    <xf numFmtId="167" fontId="7" fillId="6" borderId="11" xfId="2" applyNumberFormat="1" applyFont="1" applyFill="1" applyBorder="1" applyAlignment="1">
      <alignment horizontal="right"/>
    </xf>
    <xf numFmtId="171" fontId="7" fillId="6" borderId="0" xfId="0" applyNumberFormat="1" applyFont="1" applyFill="1"/>
    <xf numFmtId="169" fontId="7" fillId="6" borderId="5" xfId="0" applyNumberFormat="1" applyFont="1" applyFill="1" applyBorder="1"/>
    <xf numFmtId="169" fontId="7" fillId="6" borderId="6" xfId="2" applyNumberFormat="1" applyFont="1" applyFill="1" applyBorder="1" applyAlignment="1"/>
    <xf numFmtId="168" fontId="7" fillId="6" borderId="11" xfId="0" applyNumberFormat="1" applyFont="1" applyFill="1" applyBorder="1"/>
    <xf numFmtId="168" fontId="7" fillId="6" borderId="10" xfId="0" applyNumberFormat="1" applyFont="1" applyFill="1" applyBorder="1"/>
    <xf numFmtId="167" fontId="7" fillId="6" borderId="0" xfId="2" applyNumberFormat="1" applyFont="1" applyFill="1" applyAlignment="1">
      <alignment horizontal="right" vertical="center"/>
    </xf>
    <xf numFmtId="167" fontId="7" fillId="6" borderId="8" xfId="2" applyNumberFormat="1" applyFont="1" applyFill="1" applyBorder="1" applyAlignment="1">
      <alignment horizontal="right" vertical="center"/>
    </xf>
    <xf numFmtId="169" fontId="7" fillId="6" borderId="0" xfId="0" applyNumberFormat="1" applyFont="1" applyFill="1" applyAlignment="1">
      <alignment horizontal="right" vertical="center"/>
    </xf>
    <xf numFmtId="169" fontId="7" fillId="6" borderId="8" xfId="0" applyNumberFormat="1" applyFont="1" applyFill="1" applyBorder="1" applyAlignment="1">
      <alignment horizontal="right" vertical="center"/>
    </xf>
    <xf numFmtId="169" fontId="0" fillId="0" borderId="0" xfId="0" applyNumberFormat="1" applyAlignment="1">
      <alignment wrapText="1"/>
    </xf>
    <xf numFmtId="0" fontId="51" fillId="6" borderId="0" xfId="0" applyFont="1" applyFill="1" applyAlignment="1">
      <alignment wrapText="1"/>
    </xf>
    <xf numFmtId="0" fontId="7" fillId="0" borderId="50" xfId="0" applyFont="1" applyBorder="1" applyAlignment="1">
      <alignment wrapText="1"/>
    </xf>
    <xf numFmtId="164" fontId="3" fillId="0" borderId="8" xfId="1" applyNumberFormat="1" applyFont="1" applyBorder="1" applyAlignment="1">
      <alignment horizontal="center" vertical="top"/>
    </xf>
    <xf numFmtId="0" fontId="27" fillId="0" borderId="7" xfId="0" applyFont="1" applyBorder="1" applyAlignment="1">
      <alignment horizontal="left" wrapText="1"/>
    </xf>
    <xf numFmtId="0" fontId="27" fillId="6" borderId="0" xfId="0" applyFont="1" applyFill="1" applyAlignment="1">
      <alignment horizontal="center" wrapText="1"/>
    </xf>
    <xf numFmtId="183" fontId="27" fillId="6" borderId="0" xfId="0" applyNumberFormat="1" applyFont="1" applyFill="1" applyAlignment="1">
      <alignment horizontal="centerContinuous" wrapText="1"/>
    </xf>
    <xf numFmtId="168" fontId="22" fillId="0" borderId="0" xfId="0" applyNumberFormat="1" applyFont="1" applyAlignment="1">
      <alignment horizontal="center" wrapText="1"/>
    </xf>
    <xf numFmtId="184" fontId="52" fillId="0" borderId="0" xfId="0" applyNumberFormat="1" applyFont="1" applyAlignment="1">
      <alignment horizontal="centerContinuous" vertical="center" wrapText="1"/>
    </xf>
    <xf numFmtId="170" fontId="26" fillId="0" borderId="0" xfId="0" applyNumberFormat="1" applyFont="1" applyAlignment="1">
      <alignment horizontal="center" wrapText="1"/>
    </xf>
    <xf numFmtId="168" fontId="28" fillId="0" borderId="0" xfId="0" applyNumberFormat="1" applyFont="1" applyAlignment="1">
      <alignment horizontal="center" wrapText="1"/>
    </xf>
    <xf numFmtId="0" fontId="26" fillId="0" borderId="0" xfId="0" applyFont="1" applyBorder="1" applyAlignment="1">
      <alignment wrapText="1"/>
    </xf>
    <xf numFmtId="183" fontId="26" fillId="6" borderId="0" xfId="0" applyNumberFormat="1" applyFont="1" applyFill="1" applyAlignment="1">
      <alignment horizontal="centerContinuous" wrapText="1"/>
    </xf>
    <xf numFmtId="166" fontId="26" fillId="0" borderId="0" xfId="0" applyNumberFormat="1" applyFont="1" applyAlignment="1">
      <alignment horizontal="center" wrapText="1"/>
    </xf>
    <xf numFmtId="0" fontId="28" fillId="6" borderId="0" xfId="0" applyFont="1" applyFill="1" applyAlignment="1">
      <alignment wrapText="1"/>
    </xf>
    <xf numFmtId="0" fontId="22" fillId="6" borderId="0" xfId="0" applyFont="1" applyFill="1" applyAlignment="1">
      <alignment wrapText="1"/>
    </xf>
    <xf numFmtId="0" fontId="26" fillId="0" borderId="9" xfId="0" applyFont="1" applyBorder="1" applyAlignment="1">
      <alignment horizontal="left" wrapText="1"/>
    </xf>
    <xf numFmtId="0" fontId="52" fillId="0" borderId="11" xfId="0" applyFont="1" applyBorder="1" applyAlignment="1">
      <alignment horizontal="center" vertical="center" wrapText="1"/>
    </xf>
    <xf numFmtId="183" fontId="26" fillId="6" borderId="11" xfId="0" applyNumberFormat="1" applyFont="1" applyFill="1" applyBorder="1" applyAlignment="1">
      <alignment horizontal="centerContinuous" wrapText="1"/>
    </xf>
    <xf numFmtId="0" fontId="26" fillId="0" borderId="11" xfId="0" applyFont="1" applyBorder="1" applyAlignment="1">
      <alignment horizontal="centerContinuous" wrapText="1"/>
    </xf>
    <xf numFmtId="170" fontId="26" fillId="0" borderId="11" xfId="0" applyNumberFormat="1" applyFont="1" applyBorder="1" applyAlignment="1">
      <alignment horizontal="center" wrapText="1"/>
    </xf>
    <xf numFmtId="166" fontId="26" fillId="0" borderId="11" xfId="0" applyNumberFormat="1" applyFont="1" applyBorder="1" applyAlignment="1">
      <alignment horizontal="center" wrapText="1"/>
    </xf>
    <xf numFmtId="0" fontId="48" fillId="5" borderId="7" xfId="0" applyFont="1" applyFill="1" applyBorder="1" applyAlignment="1">
      <alignment horizontal="center" wrapText="1"/>
    </xf>
    <xf numFmtId="0" fontId="48" fillId="5" borderId="0" xfId="0" applyFont="1" applyFill="1" applyAlignment="1">
      <alignment horizontal="center" wrapText="1"/>
    </xf>
    <xf numFmtId="0" fontId="48" fillId="5" borderId="8" xfId="0" applyFont="1" applyFill="1" applyBorder="1" applyAlignment="1">
      <alignment horizontal="center" wrapText="1"/>
    </xf>
    <xf numFmtId="11" fontId="48" fillId="5" borderId="0" xfId="0" applyNumberFormat="1" applyFont="1" applyFill="1" applyAlignment="1">
      <alignment horizontal="center" wrapText="1"/>
    </xf>
    <xf numFmtId="11" fontId="48" fillId="5" borderId="8" xfId="0" applyNumberFormat="1" applyFont="1" applyFill="1" applyBorder="1" applyAlignment="1">
      <alignment horizontal="center" wrapText="1"/>
    </xf>
    <xf numFmtId="0" fontId="48" fillId="5" borderId="33" xfId="0" applyFont="1" applyFill="1" applyBorder="1" applyAlignment="1">
      <alignment horizontal="center" wrapText="1"/>
    </xf>
    <xf numFmtId="0" fontId="24" fillId="6" borderId="0" xfId="0" applyFont="1" applyFill="1" applyAlignment="1">
      <alignment horizontal="center" wrapText="1"/>
    </xf>
    <xf numFmtId="0" fontId="24" fillId="6" borderId="8" xfId="0" applyFont="1" applyFill="1" applyBorder="1" applyAlignment="1">
      <alignment horizontal="center" wrapText="1"/>
    </xf>
    <xf numFmtId="0" fontId="43" fillId="5" borderId="0" xfId="0" applyFont="1" applyFill="1" applyAlignment="1">
      <alignment horizontal="center"/>
    </xf>
    <xf numFmtId="0" fontId="42" fillId="5" borderId="0" xfId="0" applyFont="1" applyFill="1" applyAlignment="1">
      <alignment horizontal="center"/>
    </xf>
    <xf numFmtId="0" fontId="7" fillId="6" borderId="0" xfId="0" applyFont="1" applyFill="1" applyAlignment="1">
      <alignment horizontal="center" vertical="center" wrapText="1"/>
    </xf>
    <xf numFmtId="0" fontId="16" fillId="10" borderId="23" xfId="0" applyFont="1" applyFill="1" applyBorder="1" applyAlignment="1">
      <alignment horizontal="center" wrapText="1"/>
    </xf>
    <xf numFmtId="0" fontId="10" fillId="7" borderId="3" xfId="0" applyFont="1" applyFill="1" applyBorder="1" applyAlignment="1">
      <alignment horizontal="center"/>
    </xf>
    <xf numFmtId="0" fontId="10" fillId="7" borderId="2" xfId="0" applyFont="1" applyFill="1" applyBorder="1" applyAlignment="1">
      <alignment horizontal="center"/>
    </xf>
    <xf numFmtId="0" fontId="50" fillId="6" borderId="0" xfId="0" applyFont="1" applyFill="1" applyAlignment="1">
      <alignment horizontal="center"/>
    </xf>
    <xf numFmtId="0" fontId="7" fillId="6" borderId="5" xfId="0" applyFont="1" applyFill="1" applyBorder="1" applyAlignment="1">
      <alignment horizontal="center"/>
    </xf>
    <xf numFmtId="0" fontId="7" fillId="6" borderId="6" xfId="0" applyFont="1" applyFill="1" applyBorder="1" applyAlignment="1">
      <alignment horizontal="center"/>
    </xf>
    <xf numFmtId="0" fontId="7" fillId="6" borderId="11" xfId="0" applyFont="1" applyFill="1" applyBorder="1" applyAlignment="1">
      <alignment horizontal="center"/>
    </xf>
    <xf numFmtId="0" fontId="7" fillId="6" borderId="10" xfId="0" applyFont="1" applyFill="1" applyBorder="1" applyAlignment="1">
      <alignment horizontal="center"/>
    </xf>
    <xf numFmtId="0" fontId="13" fillId="5" borderId="4" xfId="0" applyFont="1" applyFill="1" applyBorder="1" applyAlignment="1">
      <alignment horizontal="center"/>
    </xf>
    <xf numFmtId="0" fontId="13" fillId="5" borderId="6" xfId="0" applyFont="1" applyFill="1" applyBorder="1" applyAlignment="1">
      <alignment horizontal="center"/>
    </xf>
    <xf numFmtId="43" fontId="16" fillId="9" borderId="16" xfId="0" applyNumberFormat="1" applyFont="1" applyFill="1" applyBorder="1" applyAlignment="1">
      <alignment horizontal="center" wrapText="1"/>
    </xf>
    <xf numFmtId="43" fontId="16" fillId="9" borderId="17" xfId="0" applyNumberFormat="1" applyFont="1" applyFill="1" applyBorder="1" applyAlignment="1">
      <alignment horizontal="center" wrapText="1"/>
    </xf>
    <xf numFmtId="43" fontId="16" fillId="9" borderId="18" xfId="0" applyNumberFormat="1" applyFont="1" applyFill="1" applyBorder="1" applyAlignment="1">
      <alignment horizontal="center" wrapText="1"/>
    </xf>
    <xf numFmtId="43" fontId="13" fillId="5" borderId="16" xfId="0" applyNumberFormat="1" applyFont="1" applyFill="1" applyBorder="1" applyAlignment="1">
      <alignment horizontal="center"/>
    </xf>
    <xf numFmtId="43" fontId="13" fillId="5" borderId="17" xfId="0" applyNumberFormat="1" applyFont="1" applyFill="1" applyBorder="1" applyAlignment="1">
      <alignment horizontal="center"/>
    </xf>
    <xf numFmtId="43" fontId="13" fillId="5" borderId="18" xfId="0" applyNumberFormat="1" applyFont="1" applyFill="1" applyBorder="1" applyAlignment="1">
      <alignment horizontal="center"/>
    </xf>
    <xf numFmtId="169" fontId="8" fillId="4" borderId="8" xfId="1" applyNumberFormat="1" applyFont="1" applyFill="1" applyBorder="1" applyAlignment="1">
      <alignment horizontal="center" vertical="center" wrapText="1"/>
    </xf>
    <xf numFmtId="169" fontId="9" fillId="0" borderId="12" xfId="0" applyNumberFormat="1" applyFont="1" applyBorder="1" applyAlignment="1">
      <alignment horizontal="center" wrapText="1"/>
    </xf>
    <xf numFmtId="169" fontId="9" fillId="0" borderId="13" xfId="0" applyNumberFormat="1" applyFont="1" applyBorder="1" applyAlignment="1">
      <alignment horizontal="center" wrapText="1"/>
    </xf>
    <xf numFmtId="169" fontId="9" fillId="0" borderId="15" xfId="0" applyNumberFormat="1" applyFont="1" applyBorder="1" applyAlignment="1">
      <alignment horizontal="center" wrapText="1"/>
    </xf>
  </cellXfs>
  <cellStyles count="4">
    <cellStyle name="Comma" xfId="2" builtinId="3"/>
    <cellStyle name="Currency" xfId="3" builtinId="4"/>
    <cellStyle name="Normal" xfId="0" builtinId="0"/>
    <cellStyle name="Percent" xfId="1" builtinId="5"/>
  </cellStyles>
  <dxfs count="15">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patternType="none">
          <bgColor auto="1"/>
        </patternFill>
      </fill>
    </dxf>
    <dxf>
      <fill>
        <patternFill>
          <bgColor theme="0"/>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theme="1"/>
        <name val="Book Antiqua"/>
        <family val="1"/>
        <scheme val="none"/>
      </font>
      <numFmt numFmtId="13" formatCode="0%"/>
      <fill>
        <patternFill patternType="solid">
          <fgColor indexed="64"/>
          <bgColor theme="0"/>
        </patternFill>
      </fill>
    </dxf>
    <dxf>
      <font>
        <b val="0"/>
        <i val="0"/>
        <strike val="0"/>
        <condense val="0"/>
        <extend val="0"/>
        <outline val="0"/>
        <shadow val="0"/>
        <u val="none"/>
        <vertAlign val="baseline"/>
        <sz val="11"/>
        <color theme="1"/>
        <name val="Book Antiqua"/>
        <family val="1"/>
        <scheme val="none"/>
      </font>
      <fill>
        <patternFill patternType="solid">
          <fgColor indexed="64"/>
          <bgColor theme="0"/>
        </patternFill>
      </fill>
    </dxf>
    <dxf>
      <font>
        <b val="0"/>
        <i val="0"/>
        <strike val="0"/>
        <condense val="0"/>
        <extend val="0"/>
        <outline val="0"/>
        <shadow val="0"/>
        <u val="none"/>
        <vertAlign val="baseline"/>
        <sz val="11"/>
        <color theme="1"/>
        <name val="Book Antiqua"/>
        <family val="1"/>
        <scheme val="none"/>
      </font>
      <fill>
        <patternFill patternType="solid">
          <fgColor indexed="64"/>
          <bgColor theme="0"/>
        </patternFill>
      </fill>
      <alignment horizontal="center" vertical="bottom" textRotation="0" wrapText="0" indent="0" justifyLastLine="0" shrinkToFit="0" readingOrder="0"/>
    </dxf>
  </dxfs>
  <tableStyles count="0" defaultTableStyle="TableStyleMedium2" defaultPivotStyle="PivotStyleLight16"/>
  <colors>
    <mruColors>
      <color rgb="FF460000"/>
      <color rgb="FF009900"/>
      <color rgb="FFFFEBEB"/>
      <color rgb="FF0000FF"/>
      <color rgb="FFFFCDCD"/>
      <color rgb="FFFF9393"/>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75106392828189"/>
          <c:y val="7.9120879120879117E-2"/>
          <c:w val="0.79388496231423655"/>
          <c:h val="0.81658692663417076"/>
        </c:manualLayout>
      </c:layout>
      <c:barChart>
        <c:barDir val="bar"/>
        <c:grouping val="stacked"/>
        <c:varyColors val="0"/>
        <c:ser>
          <c:idx val="0"/>
          <c:order val="0"/>
          <c:spPr>
            <a:noFill/>
            <a:ln>
              <a:noFill/>
            </a:ln>
            <a:effectLst/>
          </c:spPr>
          <c:invertIfNegative val="0"/>
          <c:dLbls>
            <c:dLbl>
              <c:idx val="1"/>
              <c:layout>
                <c:manualLayout>
                  <c:x val="6.6159201439021834E-2"/>
                  <c:y val="4.23280423280423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91-4844-B622-86E8A2013589}"/>
                </c:ext>
              </c:extLst>
            </c:dLbl>
            <c:dLbl>
              <c:idx val="2"/>
              <c:layout>
                <c:manualLayout>
                  <c:x val="4.6612164650219924E-2"/>
                  <c:y val="-4.23280423280423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191-4844-B622-86E8A2013589}"/>
                </c:ext>
              </c:extLst>
            </c:dLbl>
            <c:dLbl>
              <c:idx val="3"/>
              <c:layout>
                <c:manualLayout>
                  <c:x val="-1.1878249347134705E-2"/>
                  <c:y val="8.48806224222523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16-479F-BFE7-CF8FF53147F9}"/>
                </c:ext>
              </c:extLst>
            </c:dLbl>
            <c:numFmt formatCode="_(* #,##0.00_);_(* \(#,##0.00\);_(* &quot;-&quot;??_);_(@_)"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C00000"/>
                    </a:solidFill>
                    <a:latin typeface="Book Antiqua" panose="02040602050305030304" pitchFamily="18"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Tear!$D$40:$G$40</c:f>
              <c:strCache>
                <c:ptCount val="4"/>
                <c:pt idx="0">
                  <c:v>52 week</c:v>
                </c:pt>
                <c:pt idx="1">
                  <c:v>DCF</c:v>
                </c:pt>
                <c:pt idx="2">
                  <c:v>Historical </c:v>
                </c:pt>
                <c:pt idx="3">
                  <c:v>Comparable </c:v>
                </c:pt>
              </c:strCache>
            </c:strRef>
          </c:cat>
          <c:val>
            <c:numRef>
              <c:f>Tear!$D$41:$G$41</c:f>
              <c:numCache>
                <c:formatCode>0.00</c:formatCode>
                <c:ptCount val="4"/>
                <c:pt idx="0" formatCode="&quot;$&quot;#,##0.00">
                  <c:v>81.56</c:v>
                </c:pt>
                <c:pt idx="1">
                  <c:v>146.2637477015486</c:v>
                </c:pt>
                <c:pt idx="2" formatCode="_(* #,##0.00_);_(* \(#,##0.00\);_(* &quot;-&quot;??_);_(@_)">
                  <c:v>182.24028294837152</c:v>
                </c:pt>
                <c:pt idx="3">
                  <c:v>63.77504402976431</c:v>
                </c:pt>
              </c:numCache>
            </c:numRef>
          </c:val>
          <c:extLst>
            <c:ext xmlns:c16="http://schemas.microsoft.com/office/drawing/2014/chart" uri="{C3380CC4-5D6E-409C-BE32-E72D297353CC}">
              <c16:uniqueId val="{00000000-2191-4844-B622-86E8A2013589}"/>
            </c:ext>
          </c:extLst>
        </c:ser>
        <c:ser>
          <c:idx val="1"/>
          <c:order val="1"/>
          <c:spPr>
            <a:solidFill>
              <a:srgbClr val="C00000"/>
            </a:solidFill>
            <a:ln>
              <a:noFill/>
            </a:ln>
            <a:effectLst>
              <a:innerShdw blurRad="63500" dist="50800" dir="13500000">
                <a:prstClr val="black">
                  <a:alpha val="50000"/>
                </a:prstClr>
              </a:innerShdw>
            </a:effectLst>
          </c:spPr>
          <c:invertIfNegative val="0"/>
          <c:cat>
            <c:strRef>
              <c:f>Tear!$D$40:$G$40</c:f>
              <c:strCache>
                <c:ptCount val="4"/>
                <c:pt idx="0">
                  <c:v>52 week</c:v>
                </c:pt>
                <c:pt idx="1">
                  <c:v>DCF</c:v>
                </c:pt>
                <c:pt idx="2">
                  <c:v>Historical </c:v>
                </c:pt>
                <c:pt idx="3">
                  <c:v>Comparable </c:v>
                </c:pt>
              </c:strCache>
            </c:strRef>
          </c:cat>
          <c:val>
            <c:numRef>
              <c:f>Tear!$D$42:$G$42</c:f>
              <c:numCache>
                <c:formatCode>0.00</c:formatCode>
                <c:ptCount val="4"/>
                <c:pt idx="0" formatCode="&quot;$&quot;#,##0.00">
                  <c:v>64.490000000000009</c:v>
                </c:pt>
                <c:pt idx="1">
                  <c:v>67.504655104800378</c:v>
                </c:pt>
                <c:pt idx="2" formatCode="_(* #,##0.00_);_(* \(#,##0.00\);_(* &quot;-&quot;??_);_(@_)">
                  <c:v>97.994536840351685</c:v>
                </c:pt>
                <c:pt idx="3">
                  <c:v>326.47538686634266</c:v>
                </c:pt>
              </c:numCache>
            </c:numRef>
          </c:val>
          <c:extLst>
            <c:ext xmlns:c16="http://schemas.microsoft.com/office/drawing/2014/chart" uri="{C3380CC4-5D6E-409C-BE32-E72D297353CC}">
              <c16:uniqueId val="{00000001-2191-4844-B622-86E8A2013589}"/>
            </c:ext>
          </c:extLst>
        </c:ser>
        <c:ser>
          <c:idx val="2"/>
          <c:order val="2"/>
          <c:spPr>
            <a:noFill/>
            <a:ln>
              <a:noFill/>
            </a:ln>
            <a:effectLst/>
          </c:spPr>
          <c:invertIfNegative val="0"/>
          <c:dLbls>
            <c:dLbl>
              <c:idx val="0"/>
              <c:layout>
                <c:manualLayout>
                  <c:x val="-8.6852099562050589E-2"/>
                  <c:y val="8.96394713204722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191-4844-B622-86E8A2013589}"/>
                </c:ext>
              </c:extLst>
            </c:dLbl>
            <c:dLbl>
              <c:idx val="1"/>
              <c:layout>
                <c:manualLayout>
                  <c:x val="-0.13231840287804378"/>
                  <c:y val="4.23280423280423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91-4844-B622-86E8A2013589}"/>
                </c:ext>
              </c:extLst>
            </c:dLbl>
            <c:dLbl>
              <c:idx val="2"/>
              <c:layout>
                <c:manualLayout>
                  <c:x val="-0.18003860197214014"/>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91-4844-B622-86E8A2013589}"/>
                </c:ext>
              </c:extLst>
            </c:dLbl>
            <c:dLbl>
              <c:idx val="3"/>
              <c:layout>
                <c:manualLayout>
                  <c:x val="-0.1022460385875793"/>
                  <c:y val="-1.2698412698412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91-4844-B622-86E8A2013589}"/>
                </c:ext>
              </c:extLst>
            </c:dLbl>
            <c:numFmt formatCode="_(* #,##0.00_);_(* \(#,##0.00\);_(* &quot;-&quot;??_);_(@_)" sourceLinked="0"/>
            <c:spPr>
              <a:noFill/>
              <a:ln>
                <a:noFill/>
              </a:ln>
              <a:effectLst>
                <a:glow>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baseline="0">
                    <a:solidFill>
                      <a:srgbClr val="C00000"/>
                    </a:solidFill>
                    <a:latin typeface="Book Antiqua" panose="02040602050305030304" pitchFamily="18"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Tear!$D$40:$G$40</c:f>
              <c:strCache>
                <c:ptCount val="4"/>
                <c:pt idx="0">
                  <c:v>52 week</c:v>
                </c:pt>
                <c:pt idx="1">
                  <c:v>DCF</c:v>
                </c:pt>
                <c:pt idx="2">
                  <c:v>Historical </c:v>
                </c:pt>
                <c:pt idx="3">
                  <c:v>Comparable </c:v>
                </c:pt>
              </c:strCache>
            </c:strRef>
          </c:cat>
          <c:val>
            <c:numRef>
              <c:f>Tear!$D$43:$G$43</c:f>
              <c:numCache>
                <c:formatCode>0.00</c:formatCode>
                <c:ptCount val="4"/>
                <c:pt idx="0" formatCode="&quot;$&quot;#,##0.00">
                  <c:v>146.05000000000001</c:v>
                </c:pt>
                <c:pt idx="1">
                  <c:v>213.76840280634897</c:v>
                </c:pt>
                <c:pt idx="2" formatCode="_(* #,##0.00_);_(* \(#,##0.00\);_(* &quot;-&quot;??_);_(@_)">
                  <c:v>280.2348197887232</c:v>
                </c:pt>
                <c:pt idx="3">
                  <c:v>390.25043089610699</c:v>
                </c:pt>
              </c:numCache>
            </c:numRef>
          </c:val>
          <c:extLst>
            <c:ext xmlns:c16="http://schemas.microsoft.com/office/drawing/2014/chart" uri="{C3380CC4-5D6E-409C-BE32-E72D297353CC}">
              <c16:uniqueId val="{00000002-2191-4844-B622-86E8A2013589}"/>
            </c:ext>
          </c:extLst>
        </c:ser>
        <c:dLbls>
          <c:showLegendKey val="0"/>
          <c:showVal val="0"/>
          <c:showCatName val="0"/>
          <c:showSerName val="0"/>
          <c:showPercent val="0"/>
          <c:showBubbleSize val="0"/>
        </c:dLbls>
        <c:gapWidth val="165"/>
        <c:overlap val="100"/>
        <c:axId val="827356912"/>
        <c:axId val="827354832"/>
      </c:barChart>
      <c:catAx>
        <c:axId val="8273569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Book Antiqua" panose="02040602050305030304" pitchFamily="18" charset="0"/>
                <a:ea typeface="+mn-ea"/>
                <a:cs typeface="+mn-cs"/>
              </a:defRPr>
            </a:pPr>
            <a:endParaRPr lang="en-US"/>
          </a:p>
        </c:txPr>
        <c:crossAx val="827354832"/>
        <c:crosses val="autoZero"/>
        <c:auto val="1"/>
        <c:lblAlgn val="ctr"/>
        <c:lblOffset val="100"/>
        <c:noMultiLvlLbl val="0"/>
      </c:catAx>
      <c:valAx>
        <c:axId val="827354832"/>
        <c:scaling>
          <c:orientation val="minMax"/>
          <c:max val="500"/>
        </c:scaling>
        <c:delete val="0"/>
        <c:axPos val="b"/>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bg1"/>
                </a:solidFill>
                <a:latin typeface="Book Antiqua" panose="02040602050305030304" pitchFamily="18" charset="0"/>
                <a:ea typeface="+mn-ea"/>
                <a:cs typeface="+mn-cs"/>
              </a:defRPr>
            </a:pPr>
            <a:endParaRPr lang="en-US"/>
          </a:p>
        </c:txPr>
        <c:crossAx val="827356912"/>
        <c:crosses val="autoZero"/>
        <c:crossBetween val="between"/>
      </c:valAx>
      <c:spPr>
        <a:noFill/>
        <a:ln>
          <a:noFill/>
        </a:ln>
        <a:effectLst>
          <a:softEdge rad="127000"/>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US"/>
              <a:t>Service Revenue 2022</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'Company Info'!$D$13</c:f>
              <c:strCache>
                <c:ptCount val="1"/>
                <c:pt idx="0">
                  <c:v>Column1</c:v>
                </c:pt>
              </c:strCache>
            </c:strRef>
          </c:tx>
          <c:dPt>
            <c:idx val="0"/>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4-FA54-4210-8F21-F677693184B3}"/>
              </c:ext>
            </c:extLst>
          </c:dPt>
          <c:dPt>
            <c:idx val="1"/>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2-FA54-4210-8F21-F677693184B3}"/>
              </c:ext>
            </c:extLst>
          </c:dPt>
          <c:dPt>
            <c:idx val="2"/>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1-FA54-4210-8F21-F677693184B3}"/>
              </c:ext>
            </c:extLst>
          </c:dPt>
          <c:dPt>
            <c:idx val="3"/>
            <c:bubble3D val="0"/>
            <c:spPr>
              <a:solidFill>
                <a:schemeClr val="accent6">
                  <a:lumMod val="60000"/>
                  <a:alpha val="90000"/>
                </a:schemeClr>
              </a:solidFill>
              <a:ln w="19050">
                <a:solidFill>
                  <a:schemeClr val="accent6">
                    <a:lumMod val="60000"/>
                    <a:lumMod val="75000"/>
                  </a:schemeClr>
                </a:solidFill>
              </a:ln>
              <a:effectLst>
                <a:innerShdw blurRad="114300">
                  <a:schemeClr val="accent6">
                    <a:lumMod val="60000"/>
                    <a:lumMod val="75000"/>
                  </a:schemeClr>
                </a:innerShdw>
              </a:effectLst>
              <a:scene3d>
                <a:camera prst="orthographicFront"/>
                <a:lightRig rig="threePt" dir="t"/>
              </a:scene3d>
              <a:sp3d contourW="19050" prstMaterial="flat">
                <a:contourClr>
                  <a:schemeClr val="accent6">
                    <a:lumMod val="60000"/>
                    <a:lumMod val="75000"/>
                  </a:schemeClr>
                </a:contourClr>
              </a:sp3d>
            </c:spPr>
            <c:extLst>
              <c:ext xmlns:c16="http://schemas.microsoft.com/office/drawing/2014/chart" uri="{C3380CC4-5D6E-409C-BE32-E72D297353CC}">
                <c16:uniqueId val="{00000003-FA54-4210-8F21-F677693184B3}"/>
              </c:ext>
            </c:extLst>
          </c:dPt>
          <c:dPt>
            <c:idx val="4"/>
            <c:bubble3D val="0"/>
            <c:spPr>
              <a:solidFill>
                <a:schemeClr val="accent5">
                  <a:lumMod val="60000"/>
                  <a:alpha val="90000"/>
                </a:schemeClr>
              </a:solidFill>
              <a:ln w="19050">
                <a:solidFill>
                  <a:schemeClr val="accent5">
                    <a:lumMod val="60000"/>
                    <a:lumMod val="75000"/>
                  </a:schemeClr>
                </a:solidFill>
              </a:ln>
              <a:effectLst>
                <a:innerShdw blurRad="114300">
                  <a:schemeClr val="accent5">
                    <a:lumMod val="60000"/>
                    <a:lumMod val="75000"/>
                  </a:schemeClr>
                </a:innerShdw>
              </a:effectLst>
              <a:scene3d>
                <a:camera prst="orthographicFront"/>
                <a:lightRig rig="threePt" dir="t"/>
              </a:scene3d>
              <a:sp3d contourW="19050" prstMaterial="flat">
                <a:contourClr>
                  <a:schemeClr val="accent5">
                    <a:lumMod val="60000"/>
                    <a:lumMod val="75000"/>
                  </a:schemeClr>
                </a:contourClr>
              </a:sp3d>
            </c:spPr>
            <c:extLst>
              <c:ext xmlns:c16="http://schemas.microsoft.com/office/drawing/2014/chart" uri="{C3380CC4-5D6E-409C-BE32-E72D297353CC}">
                <c16:uniqueId val="{00000006-FA54-4210-8F21-F677693184B3}"/>
              </c:ext>
            </c:extLst>
          </c:dPt>
          <c:dPt>
            <c:idx val="5"/>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07-FA54-4210-8F21-F677693184B3}"/>
              </c:ext>
            </c:extLst>
          </c:dPt>
          <c:dPt>
            <c:idx val="6"/>
            <c:bubble3D val="0"/>
            <c:spPr>
              <a:solidFill>
                <a:schemeClr val="accent6">
                  <a:lumMod val="80000"/>
                  <a:lumOff val="20000"/>
                  <a:alpha val="90000"/>
                </a:schemeClr>
              </a:solidFill>
              <a:ln w="19050">
                <a:solidFill>
                  <a:schemeClr val="accent6">
                    <a:lumMod val="80000"/>
                    <a:lumOff val="20000"/>
                    <a:lumMod val="75000"/>
                  </a:schemeClr>
                </a:solidFill>
              </a:ln>
              <a:effectLst>
                <a:innerShdw blurRad="114300">
                  <a:schemeClr val="accent6">
                    <a:lumMod val="80000"/>
                    <a:lumOff val="20000"/>
                    <a:lumMod val="75000"/>
                  </a:schemeClr>
                </a:innerShdw>
              </a:effectLst>
              <a:scene3d>
                <a:camera prst="orthographicFront"/>
                <a:lightRig rig="threePt" dir="t"/>
              </a:scene3d>
              <a:sp3d contourW="19050" prstMaterial="flat">
                <a:contourClr>
                  <a:schemeClr val="accent6">
                    <a:lumMod val="80000"/>
                    <a:lumOff val="20000"/>
                    <a:lumMod val="75000"/>
                  </a:schemeClr>
                </a:contourClr>
              </a:sp3d>
            </c:spPr>
            <c:extLst>
              <c:ext xmlns:c16="http://schemas.microsoft.com/office/drawing/2014/chart" uri="{C3380CC4-5D6E-409C-BE32-E72D297353CC}">
                <c16:uniqueId val="{00000008-FA54-4210-8F21-F677693184B3}"/>
              </c:ext>
            </c:extLst>
          </c:dPt>
          <c:dPt>
            <c:idx val="7"/>
            <c:bubble3D val="0"/>
            <c:spPr>
              <a:solidFill>
                <a:schemeClr val="accent5">
                  <a:lumMod val="80000"/>
                  <a:lumOff val="20000"/>
                  <a:alpha val="90000"/>
                </a:schemeClr>
              </a:solidFill>
              <a:ln w="19050">
                <a:solidFill>
                  <a:schemeClr val="accent5">
                    <a:lumMod val="80000"/>
                    <a:lumOff val="20000"/>
                    <a:lumMod val="75000"/>
                  </a:schemeClr>
                </a:solidFill>
              </a:ln>
              <a:effectLst>
                <a:innerShdw blurRad="114300">
                  <a:schemeClr val="accent5">
                    <a:lumMod val="80000"/>
                    <a:lumOff val="20000"/>
                    <a:lumMod val="75000"/>
                  </a:schemeClr>
                </a:innerShdw>
              </a:effectLst>
              <a:scene3d>
                <a:camera prst="orthographicFront"/>
                <a:lightRig rig="threePt" dir="t"/>
              </a:scene3d>
              <a:sp3d contourW="19050" prstMaterial="flat">
                <a:contourClr>
                  <a:schemeClr val="accent5">
                    <a:lumMod val="80000"/>
                    <a:lumOff val="20000"/>
                    <a:lumMod val="75000"/>
                  </a:schemeClr>
                </a:contourClr>
              </a:sp3d>
            </c:spPr>
            <c:extLst>
              <c:ext xmlns:c16="http://schemas.microsoft.com/office/drawing/2014/chart" uri="{C3380CC4-5D6E-409C-BE32-E72D297353CC}">
                <c16:uniqueId val="{00000009-FA54-4210-8F21-F677693184B3}"/>
              </c:ext>
            </c:extLst>
          </c:dPt>
          <c:dPt>
            <c:idx val="8"/>
            <c:bubble3D val="0"/>
            <c:spPr>
              <a:solidFill>
                <a:schemeClr val="accent4">
                  <a:lumMod val="80000"/>
                  <a:lumOff val="20000"/>
                  <a:alpha val="90000"/>
                </a:schemeClr>
              </a:solidFill>
              <a:ln w="19050">
                <a:solidFill>
                  <a:schemeClr val="accent4">
                    <a:lumMod val="80000"/>
                    <a:lumOff val="20000"/>
                    <a:lumMod val="75000"/>
                  </a:schemeClr>
                </a:solidFill>
              </a:ln>
              <a:effectLst>
                <a:innerShdw blurRad="114300">
                  <a:schemeClr val="accent4">
                    <a:lumMod val="80000"/>
                    <a:lumOff val="20000"/>
                    <a:lumMod val="75000"/>
                  </a:schemeClr>
                </a:innerShdw>
              </a:effectLst>
              <a:scene3d>
                <a:camera prst="orthographicFront"/>
                <a:lightRig rig="threePt" dir="t"/>
              </a:scene3d>
              <a:sp3d contourW="19050" prstMaterial="flat">
                <a:contourClr>
                  <a:schemeClr val="accent4">
                    <a:lumMod val="80000"/>
                    <a:lumOff val="20000"/>
                    <a:lumMod val="75000"/>
                  </a:schemeClr>
                </a:contourClr>
              </a:sp3d>
            </c:spPr>
            <c:extLst>
              <c:ext xmlns:c16="http://schemas.microsoft.com/office/drawing/2014/chart" uri="{C3380CC4-5D6E-409C-BE32-E72D297353CC}">
                <c16:uniqueId val="{0000000A-FA54-4210-8F21-F677693184B3}"/>
              </c:ext>
            </c:extLst>
          </c:dPt>
          <c:dPt>
            <c:idx val="9"/>
            <c:bubble3D val="0"/>
            <c:spPr>
              <a:solidFill>
                <a:schemeClr val="accent6">
                  <a:lumMod val="80000"/>
                  <a:alpha val="90000"/>
                </a:schemeClr>
              </a:solidFill>
              <a:ln w="19050">
                <a:solidFill>
                  <a:schemeClr val="accent6">
                    <a:lumMod val="80000"/>
                    <a:lumMod val="75000"/>
                  </a:schemeClr>
                </a:solidFill>
              </a:ln>
              <a:effectLst>
                <a:innerShdw blurRad="114300">
                  <a:schemeClr val="accent6">
                    <a:lumMod val="80000"/>
                    <a:lumMod val="75000"/>
                  </a:schemeClr>
                </a:innerShdw>
              </a:effectLst>
              <a:scene3d>
                <a:camera prst="orthographicFront"/>
                <a:lightRig rig="threePt" dir="t"/>
              </a:scene3d>
              <a:sp3d contourW="19050" prstMaterial="flat">
                <a:contourClr>
                  <a:schemeClr val="accent6">
                    <a:lumMod val="80000"/>
                    <a:lumMod val="75000"/>
                  </a:schemeClr>
                </a:contourClr>
              </a:sp3d>
            </c:spPr>
            <c:extLst>
              <c:ext xmlns:c16="http://schemas.microsoft.com/office/drawing/2014/chart" uri="{C3380CC4-5D6E-409C-BE32-E72D297353CC}">
                <c16:uniqueId val="{00000005-FA54-4210-8F21-F677693184B3}"/>
              </c:ext>
            </c:extLst>
          </c:dPt>
          <c:dLbls>
            <c:dLbl>
              <c:idx val="0"/>
              <c:spPr>
                <a:solidFill>
                  <a:sysClr val="window" lastClr="FFFFFF">
                    <a:alpha val="90000"/>
                  </a:sysClr>
                </a:solidFill>
                <a:ln w="12700" cap="flat" cmpd="sng" algn="ctr">
                  <a:solidFill>
                    <a:srgbClr val="70AD47"/>
                  </a:solidFill>
                  <a:round/>
                </a:ln>
                <a:effectLst>
                  <a:outerShdw blurRad="50800" dist="38100" dir="2700000" algn="tl" rotWithShape="0">
                    <a:srgbClr val="70AD47">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in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solidFill>
                      <a:schemeClr val="lt1">
                        <a:alpha val="90000"/>
                      </a:schemeClr>
                    </a:solidFill>
                    <a:ln w="12700" cap="flat" cmpd="sng" algn="ctr">
                      <a:solidFill>
                        <a:schemeClr val="accent6"/>
                      </a:solidFill>
                      <a:round/>
                    </a:ln>
                  </c15:spPr>
                </c:ext>
                <c:ext xmlns:c16="http://schemas.microsoft.com/office/drawing/2014/chart" uri="{C3380CC4-5D6E-409C-BE32-E72D297353CC}">
                  <c16:uniqueId val="{00000004-FA54-4210-8F21-F677693184B3}"/>
                </c:ext>
              </c:extLst>
            </c:dLbl>
            <c:dLbl>
              <c:idx val="1"/>
              <c:spPr>
                <a:solidFill>
                  <a:sysClr val="window" lastClr="FFFFFF">
                    <a:alpha val="90000"/>
                  </a:sysClr>
                </a:solidFill>
                <a:ln w="12700" cap="flat" cmpd="sng" algn="ctr">
                  <a:solidFill>
                    <a:srgbClr val="70AD47"/>
                  </a:solidFill>
                  <a:round/>
                </a:ln>
                <a:effectLst>
                  <a:outerShdw blurRad="50800" dist="38100" dir="2700000" algn="tl" rotWithShape="0">
                    <a:srgbClr val="70AD47">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in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solidFill>
                      <a:schemeClr val="lt1">
                        <a:alpha val="90000"/>
                      </a:schemeClr>
                    </a:solidFill>
                    <a:ln w="12700" cap="flat" cmpd="sng" algn="ctr">
                      <a:solidFill>
                        <a:schemeClr val="accent6"/>
                      </a:solidFill>
                      <a:round/>
                    </a:ln>
                  </c15:spPr>
                </c:ext>
                <c:ext xmlns:c16="http://schemas.microsoft.com/office/drawing/2014/chart" uri="{C3380CC4-5D6E-409C-BE32-E72D297353CC}">
                  <c16:uniqueId val="{00000002-FA54-4210-8F21-F677693184B3}"/>
                </c:ext>
              </c:extLst>
            </c:dLbl>
            <c:dLbl>
              <c:idx val="2"/>
              <c:spPr>
                <a:solidFill>
                  <a:sysClr val="window" lastClr="FFFFFF">
                    <a:alpha val="90000"/>
                  </a:sysClr>
                </a:solidFill>
                <a:ln w="12700" cap="flat" cmpd="sng" algn="ctr">
                  <a:solidFill>
                    <a:srgbClr val="70AD47"/>
                  </a:solidFill>
                  <a:round/>
                </a:ln>
                <a:effectLst>
                  <a:outerShdw blurRad="50800" dist="38100" dir="2700000" algn="tl" rotWithShape="0">
                    <a:srgbClr val="70AD47">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in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solidFill>
                      <a:schemeClr val="lt1">
                        <a:alpha val="90000"/>
                      </a:schemeClr>
                    </a:solidFill>
                    <a:ln w="12700" cap="flat" cmpd="sng" algn="ctr">
                      <a:solidFill>
                        <a:schemeClr val="accent6"/>
                      </a:solidFill>
                      <a:round/>
                    </a:ln>
                  </c15:spPr>
                </c:ext>
                <c:ext xmlns:c16="http://schemas.microsoft.com/office/drawing/2014/chart" uri="{C3380CC4-5D6E-409C-BE32-E72D297353CC}">
                  <c16:uniqueId val="{00000001-FA54-4210-8F21-F677693184B3}"/>
                </c:ext>
              </c:extLst>
            </c:dLbl>
            <c:dLbl>
              <c:idx val="3"/>
              <c:spPr>
                <a:solidFill>
                  <a:sysClr val="window" lastClr="FFFFFF">
                    <a:alpha val="90000"/>
                  </a:sysClr>
                </a:solidFill>
                <a:ln w="12700" cap="flat" cmpd="sng" algn="ctr">
                  <a:solidFill>
                    <a:srgbClr val="70AD47"/>
                  </a:solidFill>
                  <a:round/>
                </a:ln>
                <a:effectLst>
                  <a:outerShdw blurRad="50800" dist="38100" dir="2700000" algn="tl" rotWithShape="0">
                    <a:srgbClr val="70AD47">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lumMod val="60000"/>
                        </a:schemeClr>
                      </a:solidFill>
                      <a:effectLst/>
                      <a:latin typeface="+mn-lt"/>
                      <a:ea typeface="+mn-ea"/>
                      <a:cs typeface="+mn-cs"/>
                    </a:defRPr>
                  </a:pPr>
                  <a:endParaRPr lang="en-US"/>
                </a:p>
              </c:txPr>
              <c:dLblPos val="in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solidFill>
                      <a:schemeClr val="lt1">
                        <a:alpha val="90000"/>
                      </a:schemeClr>
                    </a:solidFill>
                    <a:ln w="12700" cap="flat" cmpd="sng" algn="ctr">
                      <a:solidFill>
                        <a:schemeClr val="accent6"/>
                      </a:solidFill>
                      <a:round/>
                    </a:ln>
                  </c15:spPr>
                </c:ext>
                <c:ext xmlns:c16="http://schemas.microsoft.com/office/drawing/2014/chart" uri="{C3380CC4-5D6E-409C-BE32-E72D297353CC}">
                  <c16:uniqueId val="{00000003-FA54-4210-8F21-F677693184B3}"/>
                </c:ext>
              </c:extLst>
            </c:dLbl>
            <c:dLbl>
              <c:idx val="4"/>
              <c:spPr>
                <a:solidFill>
                  <a:sysClr val="window" lastClr="FFFFFF">
                    <a:alpha val="90000"/>
                  </a:sysClr>
                </a:solidFill>
                <a:ln w="12700" cap="flat" cmpd="sng" algn="ctr">
                  <a:solidFill>
                    <a:srgbClr val="70AD47"/>
                  </a:solidFill>
                  <a:round/>
                </a:ln>
                <a:effectLst>
                  <a:outerShdw blurRad="50800" dist="38100" dir="2700000" algn="tl" rotWithShape="0">
                    <a:srgbClr val="70AD47">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60000"/>
                        </a:schemeClr>
                      </a:solidFill>
                      <a:effectLst/>
                      <a:latin typeface="+mn-lt"/>
                      <a:ea typeface="+mn-ea"/>
                      <a:cs typeface="+mn-cs"/>
                    </a:defRPr>
                  </a:pPr>
                  <a:endParaRPr lang="en-US"/>
                </a:p>
              </c:txPr>
              <c:dLblPos val="inEnd"/>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solidFill>
                      <a:schemeClr val="lt1">
                        <a:alpha val="90000"/>
                      </a:schemeClr>
                    </a:solidFill>
                    <a:ln w="12700" cap="flat" cmpd="sng" algn="ctr">
                      <a:solidFill>
                        <a:schemeClr val="accent6"/>
                      </a:solidFill>
                      <a:round/>
                    </a:ln>
                  </c15:spPr>
                </c:ext>
                <c:ext xmlns:c16="http://schemas.microsoft.com/office/drawing/2014/chart" uri="{C3380CC4-5D6E-409C-BE32-E72D297353CC}">
                  <c16:uniqueId val="{00000006-FA54-4210-8F21-F677693184B3}"/>
                </c:ext>
              </c:extLst>
            </c:dLbl>
            <c:dLbl>
              <c:idx val="5"/>
              <c:spPr>
                <a:solidFill>
                  <a:sysClr val="window" lastClr="FFFFFF">
                    <a:alpha val="90000"/>
                  </a:sysClr>
                </a:solidFill>
                <a:ln w="12700" cap="flat" cmpd="sng" algn="ctr">
                  <a:solidFill>
                    <a:srgbClr val="70AD47"/>
                  </a:solidFill>
                  <a:round/>
                </a:ln>
                <a:effectLst>
                  <a:outerShdw blurRad="50800" dist="38100" dir="2700000" algn="tl" rotWithShape="0">
                    <a:srgbClr val="70AD47">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lumMod val="60000"/>
                        </a:schemeClr>
                      </a:solidFill>
                      <a:effectLst/>
                      <a:latin typeface="+mn-lt"/>
                      <a:ea typeface="+mn-ea"/>
                      <a:cs typeface="+mn-cs"/>
                    </a:defRPr>
                  </a:pPr>
                  <a:endParaRPr lang="en-US"/>
                </a:p>
              </c:txPr>
              <c:dLblPos val="inEnd"/>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solidFill>
                      <a:schemeClr val="lt1">
                        <a:alpha val="90000"/>
                      </a:schemeClr>
                    </a:solidFill>
                    <a:ln w="12700" cap="flat" cmpd="sng" algn="ctr">
                      <a:solidFill>
                        <a:schemeClr val="accent6"/>
                      </a:solidFill>
                      <a:round/>
                    </a:ln>
                  </c15:spPr>
                </c:ext>
                <c:ext xmlns:c16="http://schemas.microsoft.com/office/drawing/2014/chart" uri="{C3380CC4-5D6E-409C-BE32-E72D297353CC}">
                  <c16:uniqueId val="{00000007-FA54-4210-8F21-F677693184B3}"/>
                </c:ext>
              </c:extLst>
            </c:dLbl>
            <c:dLbl>
              <c:idx val="6"/>
              <c:spPr>
                <a:solidFill>
                  <a:sysClr val="window" lastClr="FFFFFF">
                    <a:alpha val="90000"/>
                  </a:sysClr>
                </a:solidFill>
                <a:ln w="12700" cap="flat" cmpd="sng" algn="ctr">
                  <a:solidFill>
                    <a:srgbClr val="70AD47"/>
                  </a:solidFill>
                  <a:round/>
                </a:ln>
                <a:effectLst>
                  <a:outerShdw blurRad="50800" dist="38100" dir="2700000" algn="tl" rotWithShape="0">
                    <a:srgbClr val="70AD47">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lumMod val="80000"/>
                          <a:lumOff val="20000"/>
                        </a:schemeClr>
                      </a:solidFill>
                      <a:effectLst/>
                      <a:latin typeface="+mn-lt"/>
                      <a:ea typeface="+mn-ea"/>
                      <a:cs typeface="+mn-cs"/>
                    </a:defRPr>
                  </a:pPr>
                  <a:endParaRPr lang="en-US"/>
                </a:p>
              </c:txPr>
              <c:dLblPos val="inEnd"/>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solidFill>
                      <a:schemeClr val="lt1">
                        <a:alpha val="90000"/>
                      </a:schemeClr>
                    </a:solidFill>
                    <a:ln w="12700" cap="flat" cmpd="sng" algn="ctr">
                      <a:solidFill>
                        <a:schemeClr val="accent6"/>
                      </a:solidFill>
                      <a:round/>
                    </a:ln>
                  </c15:spPr>
                </c:ext>
                <c:ext xmlns:c16="http://schemas.microsoft.com/office/drawing/2014/chart" uri="{C3380CC4-5D6E-409C-BE32-E72D297353CC}">
                  <c16:uniqueId val="{00000008-FA54-4210-8F21-F677693184B3}"/>
                </c:ext>
              </c:extLst>
            </c:dLbl>
            <c:dLbl>
              <c:idx val="7"/>
              <c:spPr>
                <a:solidFill>
                  <a:sysClr val="window" lastClr="FFFFFF">
                    <a:alpha val="90000"/>
                  </a:sysClr>
                </a:solidFill>
                <a:ln w="12700" cap="flat" cmpd="sng" algn="ctr">
                  <a:solidFill>
                    <a:srgbClr val="70AD47"/>
                  </a:solidFill>
                  <a:round/>
                </a:ln>
                <a:effectLst>
                  <a:outerShdw blurRad="50800" dist="38100" dir="2700000" algn="tl" rotWithShape="0">
                    <a:srgbClr val="70AD47">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80000"/>
                          <a:lumOff val="20000"/>
                        </a:schemeClr>
                      </a:solidFill>
                      <a:effectLst/>
                      <a:latin typeface="+mn-lt"/>
                      <a:ea typeface="+mn-ea"/>
                      <a:cs typeface="+mn-cs"/>
                    </a:defRPr>
                  </a:pPr>
                  <a:endParaRPr lang="en-US"/>
                </a:p>
              </c:txPr>
              <c:dLblPos val="inEnd"/>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solidFill>
                      <a:schemeClr val="lt1">
                        <a:alpha val="90000"/>
                      </a:schemeClr>
                    </a:solidFill>
                    <a:ln w="12700" cap="flat" cmpd="sng" algn="ctr">
                      <a:solidFill>
                        <a:schemeClr val="accent6"/>
                      </a:solidFill>
                      <a:round/>
                    </a:ln>
                  </c15:spPr>
                </c:ext>
                <c:ext xmlns:c16="http://schemas.microsoft.com/office/drawing/2014/chart" uri="{C3380CC4-5D6E-409C-BE32-E72D297353CC}">
                  <c16:uniqueId val="{00000009-FA54-4210-8F21-F677693184B3}"/>
                </c:ext>
              </c:extLst>
            </c:dLbl>
            <c:dLbl>
              <c:idx val="8"/>
              <c:spPr>
                <a:solidFill>
                  <a:sysClr val="window" lastClr="FFFFFF">
                    <a:alpha val="90000"/>
                  </a:sysClr>
                </a:solidFill>
                <a:ln w="12700" cap="flat" cmpd="sng" algn="ctr">
                  <a:solidFill>
                    <a:srgbClr val="70AD47"/>
                  </a:solidFill>
                  <a:round/>
                </a:ln>
                <a:effectLst>
                  <a:outerShdw blurRad="50800" dist="38100" dir="2700000" algn="tl" rotWithShape="0">
                    <a:srgbClr val="70AD47">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lumMod val="80000"/>
                          <a:lumOff val="20000"/>
                        </a:schemeClr>
                      </a:solidFill>
                      <a:effectLst/>
                      <a:latin typeface="+mn-lt"/>
                      <a:ea typeface="+mn-ea"/>
                      <a:cs typeface="+mn-cs"/>
                    </a:defRPr>
                  </a:pPr>
                  <a:endParaRPr lang="en-US"/>
                </a:p>
              </c:txPr>
              <c:dLblPos val="inEnd"/>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solidFill>
                      <a:schemeClr val="lt1">
                        <a:alpha val="90000"/>
                      </a:schemeClr>
                    </a:solidFill>
                    <a:ln w="12700" cap="flat" cmpd="sng" algn="ctr">
                      <a:solidFill>
                        <a:schemeClr val="accent6"/>
                      </a:solidFill>
                      <a:round/>
                    </a:ln>
                  </c15:spPr>
                </c:ext>
                <c:ext xmlns:c16="http://schemas.microsoft.com/office/drawing/2014/chart" uri="{C3380CC4-5D6E-409C-BE32-E72D297353CC}">
                  <c16:uniqueId val="{0000000A-FA54-4210-8F21-F677693184B3}"/>
                </c:ext>
              </c:extLst>
            </c:dLbl>
            <c:dLbl>
              <c:idx val="9"/>
              <c:spPr>
                <a:solidFill>
                  <a:sysClr val="window" lastClr="FFFFFF">
                    <a:alpha val="90000"/>
                  </a:sysClr>
                </a:solidFill>
                <a:ln w="12700" cap="flat" cmpd="sng" algn="ctr">
                  <a:solidFill>
                    <a:srgbClr val="70AD47"/>
                  </a:solidFill>
                  <a:round/>
                </a:ln>
                <a:effectLst>
                  <a:outerShdw blurRad="50800" dist="38100" dir="2700000" algn="tl" rotWithShape="0">
                    <a:srgbClr val="70AD47">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lumMod val="80000"/>
                        </a:schemeClr>
                      </a:solidFill>
                      <a:effectLst/>
                      <a:latin typeface="+mn-lt"/>
                      <a:ea typeface="+mn-ea"/>
                      <a:cs typeface="+mn-cs"/>
                    </a:defRPr>
                  </a:pPr>
                  <a:endParaRPr lang="en-US"/>
                </a:p>
              </c:txPr>
              <c:dLblPos val="in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solidFill>
                      <a:schemeClr val="lt1">
                        <a:alpha val="90000"/>
                      </a:schemeClr>
                    </a:solidFill>
                    <a:ln w="12700" cap="flat" cmpd="sng" algn="ctr">
                      <a:solidFill>
                        <a:schemeClr val="accent6"/>
                      </a:solidFill>
                      <a:round/>
                    </a:ln>
                  </c15:spPr>
                </c:ext>
                <c:ext xmlns:c16="http://schemas.microsoft.com/office/drawing/2014/chart" uri="{C3380CC4-5D6E-409C-BE32-E72D297353CC}">
                  <c16:uniqueId val="{00000005-FA54-4210-8F21-F677693184B3}"/>
                </c:ext>
              </c:extLst>
            </c:dLbl>
            <c:spPr>
              <a:solidFill>
                <a:sysClr val="window" lastClr="FFFFFF">
                  <a:alpha val="90000"/>
                </a:sysClr>
              </a:solidFill>
              <a:ln w="12700" cap="flat" cmpd="sng" algn="ctr">
                <a:solidFill>
                  <a:srgbClr val="70AD47"/>
                </a:solidFill>
                <a:round/>
              </a:ln>
              <a:effectLst>
                <a:outerShdw blurRad="50800" dist="38100" dir="2700000" algn="tl" rotWithShape="0">
                  <a:srgbClr val="70AD47">
                    <a:lumMod val="75000"/>
                    <a:alpha val="40000"/>
                  </a:srgbClr>
                </a:outerShdw>
              </a:effectLst>
            </c:spPr>
            <c:dLblPos val="inEnd"/>
            <c:showLegendKey val="0"/>
            <c:showVal val="0"/>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solidFill>
                    <a:schemeClr val="lt1">
                      <a:alpha val="90000"/>
                    </a:schemeClr>
                  </a:solidFill>
                  <a:ln w="12700" cap="flat" cmpd="sng" algn="ctr">
                    <a:solidFill>
                      <a:schemeClr val="accent6"/>
                    </a:solidFill>
                    <a:round/>
                  </a:ln>
                </c15:spPr>
              </c:ext>
            </c:extLst>
          </c:dLbls>
          <c:cat>
            <c:strRef>
              <c:f>'Company Info'!$C$14:$C$23</c:f>
              <c:strCache>
                <c:ptCount val="10"/>
                <c:pt idx="0">
                  <c:v>Chemical</c:v>
                </c:pt>
                <c:pt idx="1">
                  <c:v>General Manufacturing </c:v>
                </c:pt>
                <c:pt idx="2">
                  <c:v>Refineries </c:v>
                </c:pt>
                <c:pt idx="3">
                  <c:v>Base and Blended Oils</c:v>
                </c:pt>
                <c:pt idx="4">
                  <c:v>Automotive</c:v>
                </c:pt>
                <c:pt idx="5">
                  <c:v>Utilities</c:v>
                </c:pt>
                <c:pt idx="6">
                  <c:v>Government</c:v>
                </c:pt>
                <c:pt idx="7">
                  <c:v>Oil and Gas</c:v>
                </c:pt>
                <c:pt idx="8">
                  <c:v>Transportation</c:v>
                </c:pt>
                <c:pt idx="9">
                  <c:v>Retail </c:v>
                </c:pt>
              </c:strCache>
            </c:strRef>
          </c:cat>
          <c:val>
            <c:numRef>
              <c:f>'Company Info'!$D$14:$D$23</c:f>
              <c:numCache>
                <c:formatCode>0%</c:formatCode>
                <c:ptCount val="10"/>
                <c:pt idx="0">
                  <c:v>0.17</c:v>
                </c:pt>
                <c:pt idx="1">
                  <c:v>0.15</c:v>
                </c:pt>
                <c:pt idx="2">
                  <c:v>0.12</c:v>
                </c:pt>
                <c:pt idx="3">
                  <c:v>0.08</c:v>
                </c:pt>
                <c:pt idx="4">
                  <c:v>0.08</c:v>
                </c:pt>
                <c:pt idx="5">
                  <c:v>0.06</c:v>
                </c:pt>
                <c:pt idx="6">
                  <c:v>0.04</c:v>
                </c:pt>
                <c:pt idx="7">
                  <c:v>0.03</c:v>
                </c:pt>
                <c:pt idx="8">
                  <c:v>0.03</c:v>
                </c:pt>
                <c:pt idx="9">
                  <c:v>0.03</c:v>
                </c:pt>
              </c:numCache>
            </c:numRef>
          </c:val>
          <c:extLst>
            <c:ext xmlns:c16="http://schemas.microsoft.com/office/drawing/2014/chart" uri="{C3380CC4-5D6E-409C-BE32-E72D297353CC}">
              <c16:uniqueId val="{00000000-FA54-4210-8F21-F677693184B3}"/>
            </c:ext>
          </c:extLst>
        </c:ser>
        <c:dLbls>
          <c:dLblPos val="inEnd"/>
          <c:showLegendKey val="0"/>
          <c:showVal val="0"/>
          <c:showCatName val="1"/>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svg"/><Relationship Id="rId1" Type="http://schemas.openxmlformats.org/officeDocument/2006/relationships/image" Target="../media/image4.png"/><Relationship Id="rId6" Type="http://schemas.openxmlformats.org/officeDocument/2006/relationships/image" Target="../media/image9.sv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sv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chart" Target="../charts/chart2.xml"/><Relationship Id="rId1" Type="http://schemas.openxmlformats.org/officeDocument/2006/relationships/image" Target="../media/image16.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1</xdr:col>
      <xdr:colOff>161925</xdr:colOff>
      <xdr:row>21</xdr:row>
      <xdr:rowOff>133351</xdr:rowOff>
    </xdr:to>
    <xdr:sp macro="" textlink="">
      <xdr:nvSpPr>
        <xdr:cNvPr id="3" name="AutoShape 7" descr="LHT Consulting Group | Committed to Serving Affluent Families &amp; Their  Trusted Advisors">
          <a:extLst>
            <a:ext uri="{FF2B5EF4-FFF2-40B4-BE49-F238E27FC236}">
              <a16:creationId xmlns:a16="http://schemas.microsoft.com/office/drawing/2014/main" id="{913D9491-B909-488A-8BB6-21CA8FCB359D}"/>
            </a:ext>
          </a:extLst>
        </xdr:cNvPr>
        <xdr:cNvSpPr>
          <a:spLocks noChangeAspect="1" noChangeArrowheads="1"/>
        </xdr:cNvSpPr>
      </xdr:nvSpPr>
      <xdr:spPr bwMode="auto">
        <a:xfrm>
          <a:off x="12458700" y="4038600"/>
          <a:ext cx="304800" cy="323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285097</xdr:colOff>
      <xdr:row>1</xdr:row>
      <xdr:rowOff>86369</xdr:rowOff>
    </xdr:from>
    <xdr:to>
      <xdr:col>1</xdr:col>
      <xdr:colOff>1476992</xdr:colOff>
      <xdr:row>7</xdr:row>
      <xdr:rowOff>131524</xdr:rowOff>
    </xdr:to>
    <xdr:pic>
      <xdr:nvPicPr>
        <xdr:cNvPr id="23" name="Picture 22">
          <a:extLst>
            <a:ext uri="{FF2B5EF4-FFF2-40B4-BE49-F238E27FC236}">
              <a16:creationId xmlns:a16="http://schemas.microsoft.com/office/drawing/2014/main" id="{35B3DB6C-B044-4862-AA9A-ED103B415A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172" y="295919"/>
          <a:ext cx="1191895" cy="1302455"/>
        </a:xfrm>
        <a:prstGeom prst="rect">
          <a:avLst/>
        </a:prstGeom>
      </xdr:spPr>
    </xdr:pic>
    <xdr:clientData/>
  </xdr:twoCellAnchor>
  <xdr:twoCellAnchor>
    <xdr:from>
      <xdr:col>9</xdr:col>
      <xdr:colOff>0</xdr:colOff>
      <xdr:row>9</xdr:row>
      <xdr:rowOff>50800</xdr:rowOff>
    </xdr:from>
    <xdr:to>
      <xdr:col>20</xdr:col>
      <xdr:colOff>585523</xdr:colOff>
      <xdr:row>15</xdr:row>
      <xdr:rowOff>0</xdr:rowOff>
    </xdr:to>
    <xdr:sp macro="" textlink="">
      <xdr:nvSpPr>
        <xdr:cNvPr id="24" name="TextBox 23">
          <a:extLst>
            <a:ext uri="{FF2B5EF4-FFF2-40B4-BE49-F238E27FC236}">
              <a16:creationId xmlns:a16="http://schemas.microsoft.com/office/drawing/2014/main" id="{81F03C08-C622-4DC8-A3C3-DEAE4CA03C1D}"/>
            </a:ext>
          </a:extLst>
        </xdr:cNvPr>
        <xdr:cNvSpPr txBox="1"/>
      </xdr:nvSpPr>
      <xdr:spPr>
        <a:xfrm>
          <a:off x="9639300" y="2044700"/>
          <a:ext cx="7253023" cy="142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80" b="1" i="0" u="none" strike="noStrike">
              <a:solidFill>
                <a:sysClr val="windowText" lastClr="000000"/>
              </a:solidFill>
              <a:effectLst/>
              <a:latin typeface="Book Antiqua" panose="02040602050305030304" pitchFamily="18" charset="0"/>
              <a:ea typeface="+mn-ea"/>
              <a:cs typeface="+mn-cs"/>
            </a:rPr>
            <a:t>Founded in 1980, Clean Harbors has grown to become the leading provider of environmental services and the largest hazardous waste disposal company across North America. Clean Harbors offers a wide range of services such as hazardous waste management, emergency response, industrial cleaning, recycling and environmental consulting. The company serves a diverse customer base including government agencies, industrial manufacturers, healthcare facilities, and energy companies. With a workforce of over 20,000 employees, Clean Harbors operates over 400 locations in the United States, Canada and Puerto Rico. </a:t>
          </a:r>
          <a:endParaRPr lang="en-US" sz="1180" b="1" baseline="0">
            <a:solidFill>
              <a:sysClr val="windowText" lastClr="000000"/>
            </a:solidFill>
            <a:latin typeface="Book Antiqua" panose="02040602050305030304" pitchFamily="18" charset="0"/>
            <a:cs typeface="Arial" panose="020B0604020202020204" pitchFamily="34" charset="0"/>
          </a:endParaRPr>
        </a:p>
      </xdr:txBody>
    </xdr:sp>
    <xdr:clientData/>
  </xdr:twoCellAnchor>
  <xdr:twoCellAnchor>
    <xdr:from>
      <xdr:col>9</xdr:col>
      <xdr:colOff>0</xdr:colOff>
      <xdr:row>69</xdr:row>
      <xdr:rowOff>830</xdr:rowOff>
    </xdr:from>
    <xdr:to>
      <xdr:col>14</xdr:col>
      <xdr:colOff>556063</xdr:colOff>
      <xdr:row>85</xdr:row>
      <xdr:rowOff>169334</xdr:rowOff>
    </xdr:to>
    <xdr:sp macro="" textlink="">
      <xdr:nvSpPr>
        <xdr:cNvPr id="25" name="TextBox 24">
          <a:extLst>
            <a:ext uri="{FF2B5EF4-FFF2-40B4-BE49-F238E27FC236}">
              <a16:creationId xmlns:a16="http://schemas.microsoft.com/office/drawing/2014/main" id="{B1EC7661-A6BE-4AA3-A777-6F09B8453DCC}"/>
            </a:ext>
          </a:extLst>
        </xdr:cNvPr>
        <xdr:cNvSpPr txBox="1"/>
      </xdr:nvSpPr>
      <xdr:spPr>
        <a:xfrm>
          <a:off x="9683750" y="15166747"/>
          <a:ext cx="3540563" cy="31741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u="sng" baseline="0">
              <a:latin typeface="Book Antiqua" panose="02040602050305030304" pitchFamily="18" charset="0"/>
            </a:rPr>
            <a:t>Catalysts</a:t>
          </a:r>
        </a:p>
        <a:p>
          <a:pPr algn="ctr"/>
          <a:endParaRPr lang="en-US" sz="1200" b="1" u="sng" baseline="0">
            <a:latin typeface="Book Antiqua" panose="02040602050305030304" pitchFamily="18" charset="0"/>
          </a:endParaRPr>
        </a:p>
        <a:p>
          <a:pPr algn="l"/>
          <a:r>
            <a:rPr lang="en-US" sz="2400" b="1" i="0">
              <a:solidFill>
                <a:schemeClr val="dk1"/>
              </a:solidFill>
              <a:effectLst/>
              <a:latin typeface="+mn-lt"/>
              <a:ea typeface="+mn-ea"/>
              <a:cs typeface="+mn-cs"/>
            </a:rPr>
            <a:t>›</a:t>
          </a:r>
          <a:r>
            <a:rPr lang="en-US" sz="2400" b="0" i="0">
              <a:solidFill>
                <a:schemeClr val="dk1"/>
              </a:solidFill>
              <a:effectLst/>
              <a:latin typeface="+mn-lt"/>
              <a:ea typeface="+mn-ea"/>
              <a:cs typeface="+mn-cs"/>
            </a:rPr>
            <a:t> </a:t>
          </a:r>
          <a:r>
            <a:rPr lang="en-US" sz="1600" b="0" i="0" u="none" strike="noStrike">
              <a:solidFill>
                <a:schemeClr val="dk1"/>
              </a:solidFill>
              <a:effectLst/>
              <a:latin typeface="Book Antiqua" panose="02040602050305030304" pitchFamily="18" charset="0"/>
              <a:ea typeface="+mn-ea"/>
              <a:cs typeface="+mn-cs"/>
            </a:rPr>
            <a:t>Increased environmental concerns</a:t>
          </a:r>
        </a:p>
        <a:p>
          <a:pPr algn="l"/>
          <a:endParaRPr lang="en-US" sz="1600" b="0" i="0" u="none" strike="noStrike">
            <a:solidFill>
              <a:schemeClr val="dk1"/>
            </a:solidFill>
            <a:effectLst/>
            <a:latin typeface="Book Antiqua" panose="02040602050305030304" pitchFamily="18"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2400" b="1" i="0">
              <a:solidFill>
                <a:schemeClr val="dk1"/>
              </a:solidFill>
              <a:effectLst/>
              <a:latin typeface="+mn-lt"/>
              <a:ea typeface="+mn-ea"/>
              <a:cs typeface="+mn-cs"/>
            </a:rPr>
            <a:t>› </a:t>
          </a:r>
          <a:r>
            <a:rPr lang="en-US" sz="1600" b="0" i="0">
              <a:solidFill>
                <a:schemeClr val="dk1"/>
              </a:solidFill>
              <a:effectLst/>
              <a:latin typeface="Book Antiqua" panose="02040602050305030304" pitchFamily="18" charset="0"/>
              <a:ea typeface="+mn-ea"/>
              <a:cs typeface="+mn-cs"/>
            </a:rPr>
            <a:t>Rapid</a:t>
          </a:r>
          <a:r>
            <a:rPr lang="en-US" sz="1600" b="0" i="0" baseline="0">
              <a:solidFill>
                <a:schemeClr val="dk1"/>
              </a:solidFill>
              <a:effectLst/>
              <a:latin typeface="Book Antiqua" panose="02040602050305030304" pitchFamily="18" charset="0"/>
              <a:ea typeface="+mn-ea"/>
              <a:cs typeface="+mn-cs"/>
            </a:rPr>
            <a:t> industrialization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600" b="0" i="0" baseline="0">
            <a:solidFill>
              <a:schemeClr val="dk1"/>
            </a:solidFill>
            <a:effectLst/>
            <a:latin typeface="Book Antiqua" panose="02040602050305030304" pitchFamily="18"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2400" b="1" i="0">
              <a:solidFill>
                <a:schemeClr val="dk1"/>
              </a:solidFill>
              <a:effectLst/>
              <a:latin typeface="+mn-lt"/>
              <a:ea typeface="+mn-ea"/>
              <a:cs typeface="+mn-cs"/>
            </a:rPr>
            <a:t>›</a:t>
          </a:r>
          <a:r>
            <a:rPr lang="en-US" sz="1100" b="1" i="0">
              <a:solidFill>
                <a:schemeClr val="dk1"/>
              </a:solidFill>
              <a:effectLst/>
              <a:latin typeface="+mn-lt"/>
              <a:ea typeface="+mn-ea"/>
              <a:cs typeface="+mn-cs"/>
            </a:rPr>
            <a:t> </a:t>
          </a:r>
          <a:r>
            <a:rPr lang="en-US" sz="1600" b="0" i="0">
              <a:solidFill>
                <a:sysClr val="windowText" lastClr="000000"/>
              </a:solidFill>
              <a:effectLst/>
              <a:latin typeface="Book Antiqua" panose="02040602050305030304" pitchFamily="18" charset="0"/>
              <a:ea typeface="+mn-ea"/>
              <a:cs typeface="+mn-cs"/>
            </a:rPr>
            <a:t>Active government measures to reduce illegal dumping </a:t>
          </a:r>
          <a:endParaRPr lang="en-US" sz="1600">
            <a:solidFill>
              <a:sysClr val="windowText" lastClr="000000"/>
            </a:solidFill>
            <a:effectLst/>
            <a:latin typeface="Book Antiqua" panose="0204060205030503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3200">
            <a:effectLst/>
            <a:latin typeface="Book Antiqua" panose="02040602050305030304" pitchFamily="18" charset="0"/>
          </a:endParaRPr>
        </a:p>
        <a:p>
          <a:pPr algn="l"/>
          <a:endParaRPr lang="en-US" sz="1600" b="0" i="0" u="none" strike="noStrike">
            <a:solidFill>
              <a:schemeClr val="dk1"/>
            </a:solidFill>
            <a:effectLst/>
            <a:latin typeface="Book Antiqua" panose="02040602050305030304" pitchFamily="18" charset="0"/>
            <a:ea typeface="+mn-ea"/>
            <a:cs typeface="+mn-cs"/>
          </a:endParaRPr>
        </a:p>
        <a:p>
          <a:pPr algn="l"/>
          <a:endParaRPr lang="en-US" sz="1600" b="0" i="0" u="none" strike="noStrike">
            <a:solidFill>
              <a:schemeClr val="dk1"/>
            </a:solidFill>
            <a:effectLst/>
            <a:latin typeface="Book Antiqua" panose="02040602050305030304" pitchFamily="18" charset="0"/>
            <a:ea typeface="+mn-ea"/>
            <a:cs typeface="+mn-cs"/>
          </a:endParaRPr>
        </a:p>
        <a:p>
          <a:pPr algn="l"/>
          <a:endParaRPr lang="en-US" sz="1500" b="1" u="sng" baseline="0">
            <a:latin typeface="Book Antiqua" panose="02040602050305030304" pitchFamily="18" charset="0"/>
          </a:endParaRPr>
        </a:p>
      </xdr:txBody>
    </xdr:sp>
    <xdr:clientData/>
  </xdr:twoCellAnchor>
  <xdr:twoCellAnchor>
    <xdr:from>
      <xdr:col>15</xdr:col>
      <xdr:colOff>0</xdr:colOff>
      <xdr:row>69</xdr:row>
      <xdr:rowOff>23465</xdr:rowOff>
    </xdr:from>
    <xdr:to>
      <xdr:col>20</xdr:col>
      <xdr:colOff>553151</xdr:colOff>
      <xdr:row>85</xdr:row>
      <xdr:rowOff>180747</xdr:rowOff>
    </xdr:to>
    <xdr:sp macro="" textlink="">
      <xdr:nvSpPr>
        <xdr:cNvPr id="28" name="TextBox 27">
          <a:extLst>
            <a:ext uri="{FF2B5EF4-FFF2-40B4-BE49-F238E27FC236}">
              <a16:creationId xmlns:a16="http://schemas.microsoft.com/office/drawing/2014/main" id="{F7FFB80C-7990-4273-9C68-481A3D75F505}"/>
            </a:ext>
          </a:extLst>
        </xdr:cNvPr>
        <xdr:cNvSpPr txBox="1"/>
      </xdr:nvSpPr>
      <xdr:spPr>
        <a:xfrm>
          <a:off x="13260917" y="15189382"/>
          <a:ext cx="3590567" cy="31629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u="sng" baseline="0">
              <a:latin typeface="Book Antiqua" panose="02040602050305030304" pitchFamily="18" charset="0"/>
            </a:rPr>
            <a:t>Risks</a:t>
          </a:r>
        </a:p>
        <a:p>
          <a:pPr algn="ctr"/>
          <a:endParaRPr lang="en-US" sz="1200" b="1" u="sng" baseline="0">
            <a:latin typeface="Book Antiqua" panose="0204060205030503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2400" b="1" i="0">
              <a:solidFill>
                <a:schemeClr val="dk1"/>
              </a:solidFill>
              <a:effectLst/>
              <a:latin typeface="+mj-lt"/>
              <a:ea typeface="+mn-ea"/>
              <a:cs typeface="+mn-cs"/>
            </a:rPr>
            <a:t>›</a:t>
          </a:r>
          <a:r>
            <a:rPr lang="en-US" sz="2400" b="0" i="0">
              <a:solidFill>
                <a:schemeClr val="dk1"/>
              </a:solidFill>
              <a:effectLst/>
              <a:latin typeface="Book Antiqua" panose="02040602050305030304" pitchFamily="18" charset="0"/>
              <a:ea typeface="+mn-ea"/>
              <a:cs typeface="+mn-cs"/>
            </a:rPr>
            <a:t> </a:t>
          </a:r>
          <a:r>
            <a:rPr lang="en-US" sz="1600" b="0" i="0">
              <a:solidFill>
                <a:schemeClr val="dk1"/>
              </a:solidFill>
              <a:effectLst/>
              <a:latin typeface="Book Antiqua" panose="02040602050305030304" pitchFamily="18" charset="0"/>
              <a:ea typeface="+mn-ea"/>
              <a:cs typeface="+mn-cs"/>
            </a:rPr>
            <a:t>Not</a:t>
          </a:r>
          <a:r>
            <a:rPr lang="en-US" sz="1600" b="0" i="0" baseline="0">
              <a:solidFill>
                <a:schemeClr val="dk1"/>
              </a:solidFill>
              <a:effectLst/>
              <a:latin typeface="Book Antiqua" panose="02040602050305030304" pitchFamily="18" charset="0"/>
              <a:ea typeface="+mn-ea"/>
              <a:cs typeface="+mn-cs"/>
            </a:rPr>
            <a:t> entered into any hedging transactions between any two foreign currencies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600" b="0" i="0" baseline="0">
            <a:solidFill>
              <a:schemeClr val="dk1"/>
            </a:solidFill>
            <a:effectLst/>
            <a:latin typeface="Book Antiqua" panose="02040602050305030304" pitchFamily="18"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2400" b="1" i="0">
              <a:solidFill>
                <a:schemeClr val="dk1"/>
              </a:solidFill>
              <a:effectLst/>
              <a:latin typeface="+mn-lt"/>
              <a:ea typeface="+mn-ea"/>
              <a:cs typeface="+mn-cs"/>
            </a:rPr>
            <a:t>›</a:t>
          </a:r>
          <a:r>
            <a:rPr lang="en-US" sz="2400" b="0" i="0">
              <a:solidFill>
                <a:schemeClr val="dk1"/>
              </a:solidFill>
              <a:effectLst/>
              <a:latin typeface="+mn-lt"/>
              <a:ea typeface="+mn-ea"/>
              <a:cs typeface="+mn-cs"/>
            </a:rPr>
            <a:t> </a:t>
          </a:r>
          <a:r>
            <a:rPr lang="en-US" sz="1600" b="0" i="0" baseline="0">
              <a:solidFill>
                <a:schemeClr val="dk1"/>
              </a:solidFill>
              <a:effectLst/>
              <a:latin typeface="Book Antiqua" panose="02040602050305030304" pitchFamily="18" charset="0"/>
              <a:ea typeface="+mn-ea"/>
              <a:cs typeface="+mn-cs"/>
            </a:rPr>
            <a:t>Higher risk of liability compared to traditional waste managemnt companies </a:t>
          </a:r>
          <a:endParaRPr lang="en-US" sz="1600">
            <a:effectLst/>
            <a:latin typeface="Book Antiqua" panose="02040602050305030304" pitchFamily="18" charset="0"/>
          </a:endParaRPr>
        </a:p>
        <a:p>
          <a:pPr algn="l"/>
          <a:endParaRPr lang="en-US" sz="1200" b="0" u="none" baseline="0">
            <a:latin typeface="Book Antiqua" panose="02040602050305030304" pitchFamily="18" charset="0"/>
          </a:endParaRPr>
        </a:p>
      </xdr:txBody>
    </xdr:sp>
    <xdr:clientData/>
  </xdr:twoCellAnchor>
  <xdr:twoCellAnchor editAs="oneCell">
    <xdr:from>
      <xdr:col>14</xdr:col>
      <xdr:colOff>196474</xdr:colOff>
      <xdr:row>1</xdr:row>
      <xdr:rowOff>142876</xdr:rowOff>
    </xdr:from>
    <xdr:to>
      <xdr:col>20</xdr:col>
      <xdr:colOff>123271</xdr:colOff>
      <xdr:row>6</xdr:row>
      <xdr:rowOff>159993</xdr:rowOff>
    </xdr:to>
    <xdr:pic>
      <xdr:nvPicPr>
        <xdr:cNvPr id="30" name="Picture 29">
          <a:extLst>
            <a:ext uri="{FF2B5EF4-FFF2-40B4-BE49-F238E27FC236}">
              <a16:creationId xmlns:a16="http://schemas.microsoft.com/office/drawing/2014/main" id="{26AF3D84-06C1-9138-9FA4-309638E3A13F}"/>
            </a:ext>
          </a:extLst>
        </xdr:cNvPr>
        <xdr:cNvPicPr>
          <a:picLocks noChangeAspect="1"/>
        </xdr:cNvPicPr>
      </xdr:nvPicPr>
      <xdr:blipFill>
        <a:blip xmlns:r="http://schemas.openxmlformats.org/officeDocument/2006/relationships" r:embed="rId2"/>
        <a:stretch>
          <a:fillRect/>
        </a:stretch>
      </xdr:blipFill>
      <xdr:spPr>
        <a:xfrm>
          <a:off x="12845674" y="142876"/>
          <a:ext cx="3546298" cy="1093442"/>
        </a:xfrm>
        <a:prstGeom prst="rect">
          <a:avLst/>
        </a:prstGeom>
      </xdr:spPr>
    </xdr:pic>
    <xdr:clientData/>
  </xdr:twoCellAnchor>
  <xdr:twoCellAnchor editAs="oneCell">
    <xdr:from>
      <xdr:col>9</xdr:col>
      <xdr:colOff>11113</xdr:colOff>
      <xdr:row>16</xdr:row>
      <xdr:rowOff>57150</xdr:rowOff>
    </xdr:from>
    <xdr:to>
      <xdr:col>20</xdr:col>
      <xdr:colOff>571499</xdr:colOff>
      <xdr:row>32</xdr:row>
      <xdr:rowOff>157163</xdr:rowOff>
    </xdr:to>
    <xdr:pic>
      <xdr:nvPicPr>
        <xdr:cNvPr id="8" name="Picture 7">
          <a:extLst>
            <a:ext uri="{FF2B5EF4-FFF2-40B4-BE49-F238E27FC236}">
              <a16:creationId xmlns:a16="http://schemas.microsoft.com/office/drawing/2014/main" id="{3DA60AD9-7D1B-EDC3-BAEA-4AB5377E26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678988" y="3228975"/>
          <a:ext cx="7161212" cy="347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6084</xdr:colOff>
      <xdr:row>35</xdr:row>
      <xdr:rowOff>142875</xdr:rowOff>
    </xdr:from>
    <xdr:to>
      <xdr:col>8</xdr:col>
      <xdr:colOff>83343</xdr:colOff>
      <xdr:row>48</xdr:row>
      <xdr:rowOff>41010</xdr:rowOff>
    </xdr:to>
    <xdr:graphicFrame macro="">
      <xdr:nvGraphicFramePr>
        <xdr:cNvPr id="4" name="Chart 3">
          <a:extLst>
            <a:ext uri="{FF2B5EF4-FFF2-40B4-BE49-F238E27FC236}">
              <a16:creationId xmlns:a16="http://schemas.microsoft.com/office/drawing/2014/main" id="{2B8521A4-A429-7A54-4329-BB3113FEDB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34486</xdr:colOff>
      <xdr:row>34</xdr:row>
      <xdr:rowOff>116416</xdr:rowOff>
    </xdr:from>
    <xdr:to>
      <xdr:col>20</xdr:col>
      <xdr:colOff>571499</xdr:colOff>
      <xdr:row>67</xdr:row>
      <xdr:rowOff>190500</xdr:rowOff>
    </xdr:to>
    <xdr:sp macro="" textlink="">
      <xdr:nvSpPr>
        <xdr:cNvPr id="2" name="TextBox 1">
          <a:extLst>
            <a:ext uri="{FF2B5EF4-FFF2-40B4-BE49-F238E27FC236}">
              <a16:creationId xmlns:a16="http://schemas.microsoft.com/office/drawing/2014/main" id="{68F6CE26-62FE-2F9B-E2B7-75BFD7E32741}"/>
            </a:ext>
          </a:extLst>
        </xdr:cNvPr>
        <xdr:cNvSpPr txBox="1"/>
      </xdr:nvSpPr>
      <xdr:spPr>
        <a:xfrm>
          <a:off x="9673786" y="7761816"/>
          <a:ext cx="7204513" cy="7363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r>
            <a:rPr lang="en-US" sz="1900" b="1" i="0" u="sng" strike="noStrike">
              <a:solidFill>
                <a:schemeClr val="dk1"/>
              </a:solidFill>
              <a:effectLst/>
              <a:latin typeface="Book Antiqua" panose="02040602050305030304" pitchFamily="18" charset="0"/>
              <a:ea typeface="+mn-ea"/>
              <a:cs typeface="+mn-cs"/>
            </a:rPr>
            <a:t>High Barriers to Entry </a:t>
          </a:r>
          <a:endParaRPr lang="en-US" sz="1900" b="1" u="sng">
            <a:effectLst/>
            <a:latin typeface="Book Antiqua" panose="02040602050305030304" pitchFamily="18" charset="0"/>
          </a:endParaRPr>
        </a:p>
        <a:p>
          <a:pPr algn="ctr" rtl="0"/>
          <a:endParaRPr lang="en-US" sz="1400" b="0" i="0" u="none" strike="noStrike">
            <a:solidFill>
              <a:schemeClr val="dk1"/>
            </a:solidFill>
            <a:effectLst/>
            <a:latin typeface="Book Antiqua" panose="02040602050305030304" pitchFamily="18" charset="0"/>
            <a:ea typeface="+mn-ea"/>
            <a:cs typeface="+mn-cs"/>
          </a:endParaRPr>
        </a:p>
        <a:p>
          <a:pPr algn="ctr" rtl="0"/>
          <a:r>
            <a:rPr lang="en-US" sz="1400" b="0" i="0" u="none" strike="noStrike">
              <a:solidFill>
                <a:schemeClr val="dk1"/>
              </a:solidFill>
              <a:effectLst/>
              <a:latin typeface="Book Antiqua" panose="02040602050305030304" pitchFamily="18" charset="0"/>
              <a:ea typeface="+mn-ea"/>
              <a:cs typeface="+mn-cs"/>
            </a:rPr>
            <a:t>The industry has a very high barrier to entry due to complex regulatory requirements, the significance of technical expertise and experience, and the capital-intensive nature of the industry. The industry continues to be highly regulated, as all companies are forced to comply with a wide range of safety regulations. A successful company in this industry must be extremely knowledgeable of chemical properties and handling procedures. The Experience and reputation of Clean Harbors allow them to differentiate themselves as customers want to work with a company that has a proven track record of safely and effectively managing hazardous waste. Throughout the 43 years of inception, Clean Harbors has invested decade's worth of investments in prosperity systems, their fleet of 15,000 trucks and trailers, ownership of 9 out of 13 commercial hazard incinerators and 30% of hazardous waste landfills and 30% of Treatment, Storage and Disposal Facility (TSDF) across North America.</a:t>
          </a:r>
          <a:endParaRPr lang="en-US" sz="1400" b="0">
            <a:effectLst/>
            <a:latin typeface="Book Antiqua" panose="02040602050305030304" pitchFamily="18" charset="0"/>
          </a:endParaRPr>
        </a:p>
        <a:p>
          <a:pPr algn="ctr" rtl="0"/>
          <a:br>
            <a:rPr lang="en-US" sz="1400" b="0">
              <a:effectLst/>
              <a:latin typeface="Book Antiqua" panose="02040602050305030304" pitchFamily="18" charset="0"/>
            </a:rPr>
          </a:br>
          <a:endParaRPr lang="en-US" sz="1400" b="0">
            <a:effectLst/>
            <a:latin typeface="Book Antiqua" panose="02040602050305030304" pitchFamily="18" charset="0"/>
          </a:endParaRPr>
        </a:p>
        <a:p>
          <a:pPr algn="ctr" rtl="0"/>
          <a:r>
            <a:rPr lang="en-US" sz="1900" b="1" i="0" u="sng" strike="noStrike">
              <a:solidFill>
                <a:sysClr val="windowText" lastClr="000000"/>
              </a:solidFill>
              <a:effectLst/>
              <a:latin typeface="Book Antiqua" panose="02040602050305030304" pitchFamily="18" charset="0"/>
              <a:ea typeface="+mn-ea"/>
              <a:cs typeface="+mn-cs"/>
            </a:rPr>
            <a:t>Recession - Resilient </a:t>
          </a:r>
          <a:endParaRPr lang="en-US" sz="1900" b="1" u="sng">
            <a:solidFill>
              <a:sysClr val="windowText" lastClr="000000"/>
            </a:solidFill>
            <a:effectLst/>
            <a:latin typeface="Book Antiqua" panose="02040602050305030304" pitchFamily="18" charset="0"/>
          </a:endParaRPr>
        </a:p>
        <a:p>
          <a:pPr algn="ctr" rtl="0"/>
          <a:endParaRPr lang="en-US" sz="1400" b="0" i="0" u="none" strike="noStrike">
            <a:solidFill>
              <a:schemeClr val="dk1"/>
            </a:solidFill>
            <a:effectLst/>
            <a:latin typeface="Book Antiqua" panose="02040602050305030304" pitchFamily="18" charset="0"/>
            <a:ea typeface="+mn-ea"/>
            <a:cs typeface="+mn-cs"/>
          </a:endParaRPr>
        </a:p>
        <a:p>
          <a:pPr algn="ctr" rtl="0"/>
          <a:r>
            <a:rPr lang="en-US" sz="1400" b="0" i="0" u="none" strike="noStrike">
              <a:solidFill>
                <a:schemeClr val="dk1"/>
              </a:solidFill>
              <a:effectLst/>
              <a:latin typeface="Book Antiqua" panose="02040602050305030304" pitchFamily="18" charset="0"/>
              <a:ea typeface="+mn-ea"/>
              <a:cs typeface="+mn-cs"/>
            </a:rPr>
            <a:t>Overall, waste management can be considered recession-proof because of their essential service. These services are extremely necessary for maintaining public health and safety. Even in an economic slowdown, hazardous waste still needs to be collected, transported and properly disposed of. Clean Harbors continues to build their customer profile, which is currently over 300,000. Their diverse customer base which ranges from most Fortune 500 companies to midsize and small public and private entities, provide them with stable and recurring sources of revenue. It is crucial to note that these customers' needs vary from industry to industry (healthcare, automotive, construction, government, retail and transportation. </a:t>
          </a:r>
          <a:endParaRPr lang="en-US" sz="1400" b="0">
            <a:effectLst/>
            <a:latin typeface="Book Antiqua" panose="02040602050305030304" pitchFamily="18" charset="0"/>
          </a:endParaRPr>
        </a:p>
        <a:p>
          <a:br>
            <a:rPr lang="en-US" b="0">
              <a:effectLst/>
            </a:rPr>
          </a:br>
          <a:endParaRPr lang="en-US" sz="1100"/>
        </a:p>
      </xdr:txBody>
    </xdr:sp>
    <xdr:clientData/>
  </xdr:twoCellAnchor>
  <xdr:oneCellAnchor>
    <xdr:from>
      <xdr:col>6</xdr:col>
      <xdr:colOff>261938</xdr:colOff>
      <xdr:row>37</xdr:row>
      <xdr:rowOff>23812</xdr:rowOff>
    </xdr:from>
    <xdr:ext cx="702468" cy="308739"/>
    <xdr:sp macro="" textlink="">
      <xdr:nvSpPr>
        <xdr:cNvPr id="9" name="TextBox 8">
          <a:extLst>
            <a:ext uri="{FF2B5EF4-FFF2-40B4-BE49-F238E27FC236}">
              <a16:creationId xmlns:a16="http://schemas.microsoft.com/office/drawing/2014/main" id="{C2D06920-9C78-7BEA-FFA5-8EFE701B69CA}"/>
            </a:ext>
          </a:extLst>
        </xdr:cNvPr>
        <xdr:cNvSpPr txBox="1"/>
      </xdr:nvSpPr>
      <xdr:spPr>
        <a:xfrm>
          <a:off x="6667501" y="8251031"/>
          <a:ext cx="702468" cy="308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a:solidFill>
                <a:srgbClr val="C00000"/>
              </a:solidFill>
              <a:latin typeface="Book Antiqua" panose="02040602050305030304" pitchFamily="18" charset="0"/>
            </a:rPr>
            <a:t>378.49</a:t>
          </a:r>
        </a:p>
      </xdr:txBody>
    </xdr:sp>
    <xdr:clientData/>
  </xdr:oneCellAnchor>
  <xdr:twoCellAnchor>
    <xdr:from>
      <xdr:col>3</xdr:col>
      <xdr:colOff>738188</xdr:colOff>
      <xdr:row>35</xdr:row>
      <xdr:rowOff>130968</xdr:rowOff>
    </xdr:from>
    <xdr:to>
      <xdr:col>3</xdr:col>
      <xdr:colOff>750094</xdr:colOff>
      <xdr:row>48</xdr:row>
      <xdr:rowOff>71438</xdr:rowOff>
    </xdr:to>
    <xdr:cxnSp macro="">
      <xdr:nvCxnSpPr>
        <xdr:cNvPr id="17" name="Straight Arrow Connector 16">
          <a:extLst>
            <a:ext uri="{FF2B5EF4-FFF2-40B4-BE49-F238E27FC236}">
              <a16:creationId xmlns:a16="http://schemas.microsoft.com/office/drawing/2014/main" id="{3875FFF0-A658-925F-ABE4-FBA234D63BE0}"/>
            </a:ext>
          </a:extLst>
        </xdr:cNvPr>
        <xdr:cNvCxnSpPr/>
      </xdr:nvCxnSpPr>
      <xdr:spPr>
        <a:xfrm flipH="1" flipV="1">
          <a:off x="4179094" y="7929562"/>
          <a:ext cx="11906" cy="2726532"/>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631029</xdr:colOff>
      <xdr:row>34</xdr:row>
      <xdr:rowOff>47625</xdr:rowOff>
    </xdr:from>
    <xdr:to>
      <xdr:col>4</xdr:col>
      <xdr:colOff>583405</xdr:colOff>
      <xdr:row>35</xdr:row>
      <xdr:rowOff>154781</xdr:rowOff>
    </xdr:to>
    <xdr:sp macro="" textlink="">
      <xdr:nvSpPr>
        <xdr:cNvPr id="27" name="TextBox 26">
          <a:extLst>
            <a:ext uri="{FF2B5EF4-FFF2-40B4-BE49-F238E27FC236}">
              <a16:creationId xmlns:a16="http://schemas.microsoft.com/office/drawing/2014/main" id="{46B494FF-DCA0-2D77-D82C-308B713B2A89}"/>
            </a:ext>
          </a:extLst>
        </xdr:cNvPr>
        <xdr:cNvSpPr txBox="1"/>
      </xdr:nvSpPr>
      <xdr:spPr>
        <a:xfrm>
          <a:off x="3083717" y="7631906"/>
          <a:ext cx="1928813" cy="321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latin typeface="Book Antiqua" panose="02040602050305030304" pitchFamily="18" charset="0"/>
            </a:rPr>
            <a:t>Price Target - </a:t>
          </a:r>
          <a:r>
            <a:rPr lang="en-US" sz="1400" b="1">
              <a:solidFill>
                <a:srgbClr val="C00000"/>
              </a:solidFill>
              <a:latin typeface="Book Antiqua" panose="02040602050305030304" pitchFamily="18" charset="0"/>
            </a:rPr>
            <a:t>202.08</a:t>
          </a:r>
          <a:endParaRPr lang="en-US" sz="1400" b="1">
            <a:latin typeface="Book Antiqua" panose="0204060205030503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34</xdr:row>
      <xdr:rowOff>0</xdr:rowOff>
    </xdr:from>
    <xdr:ext cx="65" cy="172227"/>
    <xdr:sp macro="" textlink="">
      <xdr:nvSpPr>
        <xdr:cNvPr id="2" name="TextBox 1">
          <a:extLst>
            <a:ext uri="{FF2B5EF4-FFF2-40B4-BE49-F238E27FC236}">
              <a16:creationId xmlns:a16="http://schemas.microsoft.com/office/drawing/2014/main" id="{7761A555-2A90-40B9-8B7D-03320FCC5231}"/>
            </a:ext>
          </a:extLst>
        </xdr:cNvPr>
        <xdr:cNvSpPr txBox="1"/>
      </xdr:nvSpPr>
      <xdr:spPr>
        <a:xfrm>
          <a:off x="2362200" y="7315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11</xdr:col>
      <xdr:colOff>261938</xdr:colOff>
      <xdr:row>5</xdr:row>
      <xdr:rowOff>58978</xdr:rowOff>
    </xdr:from>
    <xdr:ext cx="815617" cy="928352"/>
    <xdr:pic>
      <xdr:nvPicPr>
        <xdr:cNvPr id="2" name="Graphic 1" descr="Bull with solid fill">
          <a:extLst>
            <a:ext uri="{FF2B5EF4-FFF2-40B4-BE49-F238E27FC236}">
              <a16:creationId xmlns:a16="http://schemas.microsoft.com/office/drawing/2014/main" id="{85FE754F-D32B-4F79-9591-5074D03508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491538" y="859078"/>
          <a:ext cx="815617" cy="928352"/>
        </a:xfrm>
        <a:prstGeom prst="rect">
          <a:avLst/>
        </a:prstGeom>
      </xdr:spPr>
    </xdr:pic>
    <xdr:clientData/>
  </xdr:oneCellAnchor>
  <xdr:oneCellAnchor>
    <xdr:from>
      <xdr:col>12</xdr:col>
      <xdr:colOff>796931</xdr:colOff>
      <xdr:row>5</xdr:row>
      <xdr:rowOff>39928</xdr:rowOff>
    </xdr:from>
    <xdr:ext cx="815617" cy="928352"/>
    <xdr:pic>
      <xdr:nvPicPr>
        <xdr:cNvPr id="3" name="Graphic 2" descr="Store with solid fill">
          <a:extLst>
            <a:ext uri="{FF2B5EF4-FFF2-40B4-BE49-F238E27FC236}">
              <a16:creationId xmlns:a16="http://schemas.microsoft.com/office/drawing/2014/main" id="{017D45F4-78B7-462B-AB52-3BFBA776AC7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912356" y="840028"/>
          <a:ext cx="815617" cy="928352"/>
        </a:xfrm>
        <a:prstGeom prst="rect">
          <a:avLst/>
        </a:prstGeom>
      </xdr:spPr>
    </xdr:pic>
    <xdr:clientData/>
  </xdr:oneCellAnchor>
  <xdr:oneCellAnchor>
    <xdr:from>
      <xdr:col>13</xdr:col>
      <xdr:colOff>555622</xdr:colOff>
      <xdr:row>5</xdr:row>
      <xdr:rowOff>11353</xdr:rowOff>
    </xdr:from>
    <xdr:ext cx="815617" cy="928352"/>
    <xdr:pic>
      <xdr:nvPicPr>
        <xdr:cNvPr id="4" name="Graphic 3" descr="Bear with solid fill">
          <a:extLst>
            <a:ext uri="{FF2B5EF4-FFF2-40B4-BE49-F238E27FC236}">
              <a16:creationId xmlns:a16="http://schemas.microsoft.com/office/drawing/2014/main" id="{D3D44816-7A0A-4EB6-BC36-1E9980FF160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1290297" y="811453"/>
          <a:ext cx="815617" cy="928352"/>
        </a:xfrm>
        <a:prstGeom prst="rect">
          <a:avLst/>
        </a:prstGeom>
      </xdr:spPr>
    </xdr:pic>
    <xdr:clientData/>
  </xdr:oneCellAnchor>
  <xdr:twoCellAnchor editAs="oneCell">
    <xdr:from>
      <xdr:col>3</xdr:col>
      <xdr:colOff>19050</xdr:colOff>
      <xdr:row>3</xdr:row>
      <xdr:rowOff>219074</xdr:rowOff>
    </xdr:from>
    <xdr:to>
      <xdr:col>3</xdr:col>
      <xdr:colOff>1238249</xdr:colOff>
      <xdr:row>10</xdr:row>
      <xdr:rowOff>57148</xdr:rowOff>
    </xdr:to>
    <xdr:pic>
      <xdr:nvPicPr>
        <xdr:cNvPr id="9" name="Picture 8">
          <a:extLst>
            <a:ext uri="{FF2B5EF4-FFF2-40B4-BE49-F238E27FC236}">
              <a16:creationId xmlns:a16="http://schemas.microsoft.com/office/drawing/2014/main" id="{A5A511C4-EB6D-8A29-9FD2-681A99EDDB17}"/>
            </a:ext>
          </a:extLst>
        </xdr:cNvPr>
        <xdr:cNvPicPr>
          <a:picLocks noChangeAspect="1"/>
        </xdr:cNvPicPr>
      </xdr:nvPicPr>
      <xdr:blipFill>
        <a:blip xmlns:r="http://schemas.openxmlformats.org/officeDocument/2006/relationships" r:embed="rId7"/>
        <a:stretch>
          <a:fillRect/>
        </a:stretch>
      </xdr:blipFill>
      <xdr:spPr>
        <a:xfrm>
          <a:off x="2505075" y="857249"/>
          <a:ext cx="1219199" cy="1219199"/>
        </a:xfrm>
        <a:prstGeom prst="rect">
          <a:avLst/>
        </a:prstGeom>
      </xdr:spPr>
    </xdr:pic>
    <xdr:clientData/>
  </xdr:twoCellAnchor>
  <xdr:twoCellAnchor editAs="oneCell">
    <xdr:from>
      <xdr:col>3</xdr:col>
      <xdr:colOff>1074964</xdr:colOff>
      <xdr:row>4</xdr:row>
      <xdr:rowOff>66674</xdr:rowOff>
    </xdr:from>
    <xdr:to>
      <xdr:col>5</xdr:col>
      <xdr:colOff>1333500</xdr:colOff>
      <xdr:row>10</xdr:row>
      <xdr:rowOff>4761</xdr:rowOff>
    </xdr:to>
    <xdr:pic>
      <xdr:nvPicPr>
        <xdr:cNvPr id="12" name="Picture 11" descr="Republic Services – Logos Download">
          <a:extLst>
            <a:ext uri="{FF2B5EF4-FFF2-40B4-BE49-F238E27FC236}">
              <a16:creationId xmlns:a16="http://schemas.microsoft.com/office/drawing/2014/main" id="{E94D5A06-9D44-7FDB-8504-8B663C8789C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60989" y="923924"/>
          <a:ext cx="1639661"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57150</xdr:colOff>
      <xdr:row>6</xdr:row>
      <xdr:rowOff>131938</xdr:rowOff>
    </xdr:from>
    <xdr:to>
      <xdr:col>6</xdr:col>
      <xdr:colOff>1095374</xdr:colOff>
      <xdr:row>8</xdr:row>
      <xdr:rowOff>95250</xdr:rowOff>
    </xdr:to>
    <xdr:pic>
      <xdr:nvPicPr>
        <xdr:cNvPr id="16" name="Picture 15" descr="Waste Management, Inc. (WM) Dividends">
          <a:extLst>
            <a:ext uri="{FF2B5EF4-FFF2-40B4-BE49-F238E27FC236}">
              <a16:creationId xmlns:a16="http://schemas.microsoft.com/office/drawing/2014/main" id="{290A44F8-64AB-F003-2C84-033F87BEE21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067300" y="1303513"/>
          <a:ext cx="1038224" cy="382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83344</xdr:colOff>
      <xdr:row>5</xdr:row>
      <xdr:rowOff>119063</xdr:rowOff>
    </xdr:from>
    <xdr:to>
      <xdr:col>10</xdr:col>
      <xdr:colOff>95250</xdr:colOff>
      <xdr:row>9</xdr:row>
      <xdr:rowOff>80963</xdr:rowOff>
    </xdr:to>
    <xdr:pic>
      <xdr:nvPicPr>
        <xdr:cNvPr id="20" name="Picture 5">
          <a:extLst>
            <a:ext uri="{FF2B5EF4-FFF2-40B4-BE49-F238E27FC236}">
              <a16:creationId xmlns:a16="http://schemas.microsoft.com/office/drawing/2014/main" id="{9D7E161E-A582-9B89-8CCF-A34796E39E9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763125" y="928688"/>
          <a:ext cx="1535906"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1476374</xdr:colOff>
      <xdr:row>5</xdr:row>
      <xdr:rowOff>202408</xdr:rowOff>
    </xdr:from>
    <xdr:to>
      <xdr:col>9</xdr:col>
      <xdr:colOff>143545</xdr:colOff>
      <xdr:row>9</xdr:row>
      <xdr:rowOff>73818</xdr:rowOff>
    </xdr:to>
    <xdr:pic>
      <xdr:nvPicPr>
        <xdr:cNvPr id="22" name="Picture 4" descr="Veolia Environnement – vanin-invest.com">
          <a:extLst>
            <a:ext uri="{FF2B5EF4-FFF2-40B4-BE49-F238E27FC236}">
              <a16:creationId xmlns:a16="http://schemas.microsoft.com/office/drawing/2014/main" id="{081F217D-112A-EFBF-604C-0FC3C5DFC02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108155" y="1012033"/>
          <a:ext cx="1715171" cy="709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180841</xdr:colOff>
      <xdr:row>5</xdr:row>
      <xdr:rowOff>119062</xdr:rowOff>
    </xdr:from>
    <xdr:to>
      <xdr:col>7</xdr:col>
      <xdr:colOff>1333144</xdr:colOff>
      <xdr:row>9</xdr:row>
      <xdr:rowOff>66675</xdr:rowOff>
    </xdr:to>
    <xdr:pic>
      <xdr:nvPicPr>
        <xdr:cNvPr id="21" name="Picture 7" descr="HCCI | Heritage-Crystal Clean Stock Price">
          <a:extLst>
            <a:ext uri="{FF2B5EF4-FFF2-40B4-BE49-F238E27FC236}">
              <a16:creationId xmlns:a16="http://schemas.microsoft.com/office/drawing/2014/main" id="{5EBD169F-A9A0-D8F6-F45B-971E7000210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812622" y="928687"/>
          <a:ext cx="1152303" cy="785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0</xdr:colOff>
      <xdr:row>0</xdr:row>
      <xdr:rowOff>0</xdr:rowOff>
    </xdr:from>
    <xdr:to>
      <xdr:col>20</xdr:col>
      <xdr:colOff>304800</xdr:colOff>
      <xdr:row>1</xdr:row>
      <xdr:rowOff>133350</xdr:rowOff>
    </xdr:to>
    <xdr:sp macro="" textlink="">
      <xdr:nvSpPr>
        <xdr:cNvPr id="3" name="AutoShape 7" descr="LHT Consulting Group | Committed to Serving Affluent Families &amp; Their  Trusted Advisors">
          <a:extLst>
            <a:ext uri="{FF2B5EF4-FFF2-40B4-BE49-F238E27FC236}">
              <a16:creationId xmlns:a16="http://schemas.microsoft.com/office/drawing/2014/main" id="{F471930D-07F1-4B15-96DD-AE87B7D21F92}"/>
            </a:ext>
          </a:extLst>
        </xdr:cNvPr>
        <xdr:cNvSpPr>
          <a:spLocks noChangeAspect="1" noChangeArrowheads="1"/>
        </xdr:cNvSpPr>
      </xdr:nvSpPr>
      <xdr:spPr bwMode="auto">
        <a:xfrm>
          <a:off x="12458700" y="4038600"/>
          <a:ext cx="304800" cy="323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550391</xdr:colOff>
      <xdr:row>0</xdr:row>
      <xdr:rowOff>152400</xdr:rowOff>
    </xdr:from>
    <xdr:to>
      <xdr:col>15</xdr:col>
      <xdr:colOff>0</xdr:colOff>
      <xdr:row>6</xdr:row>
      <xdr:rowOff>0</xdr:rowOff>
    </xdr:to>
    <xdr:pic>
      <xdr:nvPicPr>
        <xdr:cNvPr id="22" name="Picture 21" descr="CLH | Clean Harbors Stock Price">
          <a:extLst>
            <a:ext uri="{FF2B5EF4-FFF2-40B4-BE49-F238E27FC236}">
              <a16:creationId xmlns:a16="http://schemas.microsoft.com/office/drawing/2014/main" id="{BD676EC1-2F2A-4B8B-0DF0-308B015AD0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766" y="152400"/>
          <a:ext cx="3583459"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6</xdr:row>
      <xdr:rowOff>19050</xdr:rowOff>
    </xdr:from>
    <xdr:to>
      <xdr:col>11</xdr:col>
      <xdr:colOff>352425</xdr:colOff>
      <xdr:row>25</xdr:row>
      <xdr:rowOff>19050</xdr:rowOff>
    </xdr:to>
    <xdr:graphicFrame macro="">
      <xdr:nvGraphicFramePr>
        <xdr:cNvPr id="2" name="Chart 1">
          <a:extLst>
            <a:ext uri="{FF2B5EF4-FFF2-40B4-BE49-F238E27FC236}">
              <a16:creationId xmlns:a16="http://schemas.microsoft.com/office/drawing/2014/main" id="{BAFB72B8-65D4-96D3-EC45-BB9AA45A4C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533400</xdr:colOff>
      <xdr:row>6</xdr:row>
      <xdr:rowOff>114300</xdr:rowOff>
    </xdr:from>
    <xdr:to>
      <xdr:col>25</xdr:col>
      <xdr:colOff>113560</xdr:colOff>
      <xdr:row>25</xdr:row>
      <xdr:rowOff>19050</xdr:rowOff>
    </xdr:to>
    <xdr:pic>
      <xdr:nvPicPr>
        <xdr:cNvPr id="4" name="Picture 3">
          <a:extLst>
            <a:ext uri="{FF2B5EF4-FFF2-40B4-BE49-F238E27FC236}">
              <a16:creationId xmlns:a16="http://schemas.microsoft.com/office/drawing/2014/main" id="{377D2706-6F90-C027-0602-F7DFAAEDF05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53425" y="1371600"/>
          <a:ext cx="7847860" cy="388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25</xdr:row>
      <xdr:rowOff>33337</xdr:rowOff>
    </xdr:from>
    <xdr:to>
      <xdr:col>8</xdr:col>
      <xdr:colOff>90487</xdr:colOff>
      <xdr:row>40</xdr:row>
      <xdr:rowOff>0</xdr:rowOff>
    </xdr:to>
    <xdr:pic>
      <xdr:nvPicPr>
        <xdr:cNvPr id="5" name="Picture 4">
          <a:extLst>
            <a:ext uri="{FF2B5EF4-FFF2-40B4-BE49-F238E27FC236}">
              <a16:creationId xmlns:a16="http://schemas.microsoft.com/office/drawing/2014/main" id="{8EA67EAC-ED46-A808-51C7-5639F769DD8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0500" y="5391150"/>
          <a:ext cx="5972175" cy="3181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77296</xdr:colOff>
      <xdr:row>25</xdr:row>
      <xdr:rowOff>59530</xdr:rowOff>
    </xdr:from>
    <xdr:to>
      <xdr:col>31</xdr:col>
      <xdr:colOff>0</xdr:colOff>
      <xdr:row>42</xdr:row>
      <xdr:rowOff>0</xdr:rowOff>
    </xdr:to>
    <xdr:pic>
      <xdr:nvPicPr>
        <xdr:cNvPr id="6" name="Picture 5">
          <a:extLst>
            <a:ext uri="{FF2B5EF4-FFF2-40B4-BE49-F238E27FC236}">
              <a16:creationId xmlns:a16="http://schemas.microsoft.com/office/drawing/2014/main" id="{062F3A45-D013-6DD1-5AB5-6EFC09CD9A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697921" y="5417343"/>
          <a:ext cx="7066454" cy="3583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273781</xdr:colOff>
      <xdr:row>25</xdr:row>
      <xdr:rowOff>107156</xdr:rowOff>
    </xdr:from>
    <xdr:to>
      <xdr:col>19</xdr:col>
      <xdr:colOff>0</xdr:colOff>
      <xdr:row>41</xdr:row>
      <xdr:rowOff>104776</xdr:rowOff>
    </xdr:to>
    <xdr:pic>
      <xdr:nvPicPr>
        <xdr:cNvPr id="7" name="Picture 6">
          <a:extLst>
            <a:ext uri="{FF2B5EF4-FFF2-40B4-BE49-F238E27FC236}">
              <a16:creationId xmlns:a16="http://schemas.microsoft.com/office/drawing/2014/main" id="{0DFB976E-C548-961F-F979-C4CD5422490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5969" y="5464969"/>
          <a:ext cx="6274656" cy="3426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B5CEA58-F794-4A99-8BE8-A4B85AB3D836}" name="Table1" displayName="Table1" ref="C13:D23" totalsRowShown="0" headerRowDxfId="14">
  <autoFilter ref="C13:D23" xr:uid="{9B5CEA58-F794-4A99-8BE8-A4B85AB3D836}"/>
  <tableColumns count="2">
    <tableColumn id="1" xr3:uid="{8BB67938-DEB5-4615-9CB4-E7CCF86CD719}" name="2022 Service Revenue " dataDxfId="13"/>
    <tableColumn id="2" xr3:uid="{5D34E7EB-0F0A-4AAE-A946-BE9CAAD35AB4}" name="Column1" dataDxfId="1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0AFEE-1BC6-4890-B1D9-64C54887F6B9}">
  <dimension ref="A1:AH104"/>
  <sheetViews>
    <sheetView showGridLines="0" tabSelected="1" zoomScale="80" zoomScaleNormal="80" workbookViewId="0"/>
  </sheetViews>
  <sheetFormatPr defaultColWidth="8.85546875" defaultRowHeight="16.5"/>
  <cols>
    <col min="1" max="1" width="2.140625" style="44" customWidth="1"/>
    <col min="2" max="2" width="34.7109375" style="44" bestFit="1" customWidth="1"/>
    <col min="3" max="6" width="14.85546875" style="44" bestFit="1" customWidth="1"/>
    <col min="7" max="7" width="17.5703125" style="44" customWidth="1"/>
    <col min="8" max="8" width="17.7109375" style="44" customWidth="1"/>
    <col min="9" max="9" width="13.140625" style="44" customWidth="1"/>
    <col min="10" max="10" width="14" style="44" customWidth="1"/>
    <col min="11" max="11" width="4.140625" style="44" customWidth="1"/>
    <col min="12" max="15" width="8.85546875" style="44"/>
    <col min="16" max="16" width="10" style="44" bestFit="1" customWidth="1"/>
    <col min="17" max="22" width="8.85546875" style="44"/>
    <col min="23" max="23" width="2.28515625" style="44" customWidth="1"/>
    <col min="24" max="16384" width="8.85546875" style="44"/>
  </cols>
  <sheetData>
    <row r="1" spans="1:34" ht="17.25" thickBot="1"/>
    <row r="2" spans="1:34">
      <c r="A2" s="181"/>
      <c r="B2" s="547"/>
      <c r="C2" s="548"/>
      <c r="D2" s="548"/>
      <c r="E2" s="548"/>
      <c r="F2" s="548"/>
      <c r="G2" s="548"/>
      <c r="H2" s="548"/>
      <c r="I2" s="548"/>
      <c r="J2" s="548"/>
      <c r="K2" s="548"/>
      <c r="L2" s="548"/>
      <c r="M2" s="548"/>
      <c r="N2" s="548"/>
      <c r="O2" s="548"/>
      <c r="P2" s="548"/>
      <c r="Q2" s="548"/>
      <c r="R2" s="548"/>
      <c r="S2" s="548"/>
      <c r="T2" s="548"/>
      <c r="U2" s="549"/>
    </row>
    <row r="3" spans="1:34" ht="18.75">
      <c r="A3" s="182"/>
      <c r="B3" s="550" t="s">
        <v>283</v>
      </c>
      <c r="C3" s="551"/>
      <c r="D3" s="551"/>
      <c r="E3" s="551"/>
      <c r="F3" s="551"/>
      <c r="G3" s="551"/>
      <c r="H3" s="551"/>
      <c r="I3" s="551"/>
      <c r="J3" s="551"/>
      <c r="K3" s="551"/>
      <c r="L3" s="551"/>
      <c r="M3" s="551"/>
      <c r="N3" s="551"/>
      <c r="O3" s="551"/>
      <c r="P3" s="551"/>
      <c r="Q3" s="551"/>
      <c r="R3" s="551"/>
      <c r="S3" s="551"/>
      <c r="T3" s="551"/>
      <c r="U3" s="552"/>
    </row>
    <row r="4" spans="1:34">
      <c r="A4" s="182"/>
      <c r="B4" s="553" t="s">
        <v>316</v>
      </c>
      <c r="C4" s="554"/>
      <c r="D4" s="554"/>
      <c r="E4" s="554"/>
      <c r="F4" s="554"/>
      <c r="G4" s="554"/>
      <c r="H4" s="554"/>
      <c r="I4" s="554"/>
      <c r="J4" s="554"/>
      <c r="K4" s="554"/>
      <c r="L4" s="554"/>
      <c r="M4" s="554"/>
      <c r="N4" s="554"/>
      <c r="O4" s="554"/>
      <c r="P4" s="554"/>
      <c r="Q4" s="554"/>
      <c r="R4" s="554"/>
      <c r="S4" s="554"/>
      <c r="T4" s="554"/>
      <c r="U4" s="555"/>
    </row>
    <row r="5" spans="1:34">
      <c r="A5" s="182"/>
      <c r="B5" s="553" t="s">
        <v>317</v>
      </c>
      <c r="C5" s="554"/>
      <c r="D5" s="554"/>
      <c r="E5" s="554"/>
      <c r="F5" s="554"/>
      <c r="G5" s="554"/>
      <c r="H5" s="554"/>
      <c r="I5" s="554"/>
      <c r="J5" s="554"/>
      <c r="K5" s="554"/>
      <c r="L5" s="554"/>
      <c r="M5" s="554"/>
      <c r="N5" s="554"/>
      <c r="O5" s="554"/>
      <c r="P5" s="554"/>
      <c r="Q5" s="554"/>
      <c r="R5" s="554"/>
      <c r="S5" s="554"/>
      <c r="T5" s="554"/>
      <c r="U5" s="555"/>
    </row>
    <row r="6" spans="1:34">
      <c r="A6" s="182"/>
      <c r="B6" s="553" t="s">
        <v>318</v>
      </c>
      <c r="C6" s="554"/>
      <c r="D6" s="554"/>
      <c r="E6" s="554"/>
      <c r="F6" s="554"/>
      <c r="G6" s="554"/>
      <c r="H6" s="554"/>
      <c r="I6" s="554"/>
      <c r="J6" s="554"/>
      <c r="K6" s="554"/>
      <c r="L6" s="554"/>
      <c r="M6" s="554"/>
      <c r="N6" s="554"/>
      <c r="O6" s="554"/>
      <c r="P6" s="554"/>
      <c r="Q6" s="554"/>
      <c r="R6" s="554"/>
      <c r="S6" s="554"/>
      <c r="T6" s="554"/>
      <c r="U6" s="555"/>
    </row>
    <row r="7" spans="1:34">
      <c r="A7" s="182"/>
      <c r="B7" s="553" t="s">
        <v>319</v>
      </c>
      <c r="C7" s="554"/>
      <c r="D7" s="554"/>
      <c r="E7" s="554"/>
      <c r="F7" s="554"/>
      <c r="G7" s="554"/>
      <c r="H7" s="554"/>
      <c r="I7" s="554"/>
      <c r="J7" s="554"/>
      <c r="K7" s="554"/>
      <c r="L7" s="554"/>
      <c r="M7" s="554"/>
      <c r="N7" s="554"/>
      <c r="O7" s="554"/>
      <c r="P7" s="554"/>
      <c r="Q7" s="554"/>
      <c r="R7" s="554"/>
      <c r="S7" s="554"/>
      <c r="T7" s="554"/>
      <c r="U7" s="555"/>
    </row>
    <row r="8" spans="1:34">
      <c r="A8" s="182"/>
      <c r="B8" s="556" t="s">
        <v>420</v>
      </c>
      <c r="C8" s="554"/>
      <c r="D8" s="554"/>
      <c r="E8" s="554"/>
      <c r="F8" s="554"/>
      <c r="G8" s="554"/>
      <c r="H8" s="554"/>
      <c r="I8" s="554"/>
      <c r="J8" s="554"/>
      <c r="K8" s="554"/>
      <c r="L8" s="554"/>
      <c r="M8" s="554"/>
      <c r="N8" s="554"/>
      <c r="O8" s="554"/>
      <c r="P8" s="554"/>
      <c r="Q8" s="554"/>
      <c r="R8" s="554"/>
      <c r="S8" s="554"/>
      <c r="T8" s="554"/>
      <c r="U8" s="555"/>
    </row>
    <row r="9" spans="1:34" ht="18.75">
      <c r="A9" s="182"/>
      <c r="B9" s="623" t="s">
        <v>284</v>
      </c>
      <c r="C9" s="557"/>
      <c r="D9" s="558"/>
      <c r="E9" s="559"/>
      <c r="F9" s="559"/>
      <c r="G9" s="560"/>
      <c r="H9" s="624" t="str">
        <f>+IF(H10&gt;=20%,"BUY",IF(H10&gt;=5%,"HOLD","SELL"))</f>
        <v>BUY</v>
      </c>
      <c r="I9" s="546"/>
      <c r="J9" s="748" t="s">
        <v>303</v>
      </c>
      <c r="K9" s="748"/>
      <c r="L9" s="748"/>
      <c r="M9" s="748"/>
      <c r="N9" s="748"/>
      <c r="O9" s="748"/>
      <c r="P9" s="748"/>
      <c r="Q9" s="748"/>
      <c r="R9" s="748"/>
      <c r="S9" s="748"/>
      <c r="T9" s="748"/>
      <c r="U9" s="749"/>
    </row>
    <row r="10" spans="1:34">
      <c r="A10" s="182"/>
      <c r="B10" s="561" t="s">
        <v>195</v>
      </c>
      <c r="C10" s="546"/>
      <c r="D10" s="546"/>
      <c r="E10" s="546"/>
      <c r="F10" s="546"/>
      <c r="G10" s="546"/>
      <c r="H10" s="183">
        <f>H11/H12-1</f>
        <v>0.42012905994721739</v>
      </c>
      <c r="I10" s="183"/>
      <c r="J10" s="546"/>
      <c r="K10" s="546"/>
      <c r="L10" s="546"/>
      <c r="M10" s="546"/>
      <c r="N10" s="546"/>
      <c r="O10" s="546"/>
      <c r="P10" s="546"/>
      <c r="Q10" s="546"/>
      <c r="R10" s="546"/>
      <c r="S10" s="546"/>
      <c r="T10" s="546"/>
      <c r="U10" s="562"/>
    </row>
    <row r="11" spans="1:34">
      <c r="A11" s="182"/>
      <c r="B11" s="561" t="s">
        <v>193</v>
      </c>
      <c r="C11" s="546"/>
      <c r="D11" s="546"/>
      <c r="E11" s="546"/>
      <c r="F11" s="546"/>
      <c r="G11" s="546"/>
      <c r="H11" s="184">
        <f>H32</f>
        <v>202.08436523048906</v>
      </c>
      <c r="I11" s="563"/>
      <c r="J11" s="546"/>
      <c r="K11" s="546"/>
      <c r="L11" s="546"/>
      <c r="M11" s="546"/>
      <c r="N11" s="546"/>
      <c r="O11" s="546"/>
      <c r="P11" s="546"/>
      <c r="Q11" s="546"/>
      <c r="R11" s="546"/>
      <c r="S11" s="546"/>
      <c r="T11" s="546"/>
      <c r="U11" s="562"/>
    </row>
    <row r="12" spans="1:34">
      <c r="A12" s="182"/>
      <c r="B12" s="561" t="s">
        <v>285</v>
      </c>
      <c r="C12" s="546"/>
      <c r="D12" s="546"/>
      <c r="E12" s="546"/>
      <c r="F12" s="546"/>
      <c r="G12" s="546"/>
      <c r="H12" s="185">
        <v>142.30000000000001</v>
      </c>
      <c r="I12" s="186"/>
      <c r="J12" s="546"/>
      <c r="K12" s="546"/>
      <c r="L12" s="546"/>
      <c r="M12" s="546"/>
      <c r="N12" s="546"/>
      <c r="O12" s="546"/>
      <c r="P12" s="546"/>
      <c r="Q12" s="546"/>
      <c r="R12" s="546"/>
      <c r="S12" s="546"/>
      <c r="T12" s="546"/>
      <c r="U12" s="562"/>
    </row>
    <row r="13" spans="1:34">
      <c r="A13" s="182"/>
      <c r="B13" s="561" t="s">
        <v>286</v>
      </c>
      <c r="C13" s="546"/>
      <c r="D13" s="546"/>
      <c r="E13" s="546"/>
      <c r="F13" s="546"/>
      <c r="G13" s="546"/>
      <c r="H13" s="564">
        <v>-0.15</v>
      </c>
      <c r="I13" s="187"/>
      <c r="J13" s="546"/>
      <c r="K13" s="546"/>
      <c r="L13" s="546"/>
      <c r="M13" s="546"/>
      <c r="N13" s="546"/>
      <c r="O13" s="546"/>
      <c r="P13" s="546"/>
      <c r="Q13" s="546"/>
      <c r="R13" s="546"/>
      <c r="S13" s="546"/>
      <c r="T13" s="546"/>
      <c r="U13" s="562"/>
    </row>
    <row r="14" spans="1:34">
      <c r="A14" s="182"/>
      <c r="B14" s="561" t="s">
        <v>287</v>
      </c>
      <c r="C14" s="546"/>
      <c r="D14" s="546"/>
      <c r="E14" s="546"/>
      <c r="F14" s="546"/>
      <c r="G14" s="546"/>
      <c r="H14" s="188">
        <f>H12*(1+H13)</f>
        <v>120.95500000000001</v>
      </c>
      <c r="I14" s="188"/>
      <c r="J14" s="546"/>
      <c r="K14" s="546"/>
      <c r="L14" s="546"/>
      <c r="M14" s="546"/>
      <c r="N14" s="546"/>
      <c r="O14" s="546"/>
      <c r="P14" s="546"/>
      <c r="Q14" s="546"/>
      <c r="R14" s="546"/>
      <c r="S14" s="546"/>
      <c r="T14" s="546"/>
      <c r="U14" s="562"/>
    </row>
    <row r="15" spans="1:34" ht="30.75" customHeight="1">
      <c r="A15" s="182"/>
      <c r="B15" s="230"/>
      <c r="I15" s="188"/>
      <c r="J15" s="546"/>
      <c r="K15" s="546"/>
      <c r="L15" s="546"/>
      <c r="M15" s="546"/>
      <c r="N15" s="546"/>
      <c r="O15" s="546"/>
      <c r="P15" s="546"/>
      <c r="Q15" s="546"/>
      <c r="R15" s="546"/>
      <c r="S15" s="546"/>
      <c r="T15" s="546"/>
      <c r="U15" s="562"/>
    </row>
    <row r="16" spans="1:34" ht="18.75">
      <c r="A16" s="182"/>
      <c r="B16" s="745" t="s">
        <v>304</v>
      </c>
      <c r="C16" s="746"/>
      <c r="D16" s="746"/>
      <c r="E16" s="746"/>
      <c r="F16" s="746"/>
      <c r="G16" s="746"/>
      <c r="H16" s="746"/>
      <c r="I16" s="565"/>
      <c r="J16" s="750" t="s">
        <v>352</v>
      </c>
      <c r="K16" s="746"/>
      <c r="L16" s="746"/>
      <c r="M16" s="746"/>
      <c r="N16" s="746"/>
      <c r="O16" s="746"/>
      <c r="P16" s="746"/>
      <c r="Q16" s="746"/>
      <c r="R16" s="746"/>
      <c r="S16" s="746"/>
      <c r="T16" s="746"/>
      <c r="U16" s="747"/>
      <c r="AH16" s="724"/>
    </row>
    <row r="17" spans="1:21">
      <c r="A17" s="182"/>
      <c r="B17" s="561" t="s">
        <v>288</v>
      </c>
      <c r="C17" s="546"/>
      <c r="D17" s="546"/>
      <c r="E17" s="546"/>
      <c r="F17" s="546"/>
      <c r="G17" s="546"/>
      <c r="H17" s="184">
        <v>146.05000000000001</v>
      </c>
      <c r="I17" s="566"/>
      <c r="J17"/>
      <c r="K17" s="546"/>
      <c r="L17" s="546"/>
      <c r="M17" s="546"/>
      <c r="N17" s="546"/>
      <c r="O17" s="546"/>
      <c r="P17" s="546"/>
      <c r="Q17" s="546"/>
      <c r="R17" s="546"/>
      <c r="S17" s="546"/>
      <c r="T17" s="546"/>
      <c r="U17" s="562"/>
    </row>
    <row r="18" spans="1:21">
      <c r="A18" s="182"/>
      <c r="B18" s="567" t="s">
        <v>289</v>
      </c>
      <c r="C18" s="546"/>
      <c r="D18" s="546"/>
      <c r="E18" s="546"/>
      <c r="F18" s="546"/>
      <c r="G18" s="546"/>
      <c r="H18" s="189">
        <f>H12/H17</f>
        <v>0.97432386169120166</v>
      </c>
      <c r="I18" s="566"/>
      <c r="J18" s="45"/>
      <c r="K18" s="45"/>
      <c r="L18" s="45"/>
      <c r="M18" s="45"/>
      <c r="N18" s="45"/>
      <c r="O18" s="45"/>
      <c r="P18" s="45"/>
      <c r="Q18" s="45"/>
      <c r="R18" s="45"/>
      <c r="S18" s="45"/>
      <c r="T18" s="45"/>
      <c r="U18" s="568"/>
    </row>
    <row r="19" spans="1:21">
      <c r="A19" s="182"/>
      <c r="B19" s="561" t="s">
        <v>290</v>
      </c>
      <c r="C19" s="546"/>
      <c r="D19" s="546"/>
      <c r="E19" s="546"/>
      <c r="F19" s="546"/>
      <c r="G19" s="546"/>
      <c r="H19" s="184">
        <v>81.56</v>
      </c>
      <c r="I19" s="566"/>
      <c r="J19" s="45"/>
      <c r="K19" s="45"/>
      <c r="L19" s="45"/>
      <c r="M19" s="45"/>
      <c r="N19" s="45"/>
      <c r="O19" s="45"/>
      <c r="P19" s="45"/>
      <c r="Q19" s="45"/>
      <c r="R19" s="45"/>
      <c r="S19" s="45"/>
      <c r="T19" s="45"/>
      <c r="U19" s="568"/>
    </row>
    <row r="20" spans="1:21">
      <c r="A20" s="182"/>
      <c r="B20" s="567" t="s">
        <v>291</v>
      </c>
      <c r="C20" s="546"/>
      <c r="D20" s="546"/>
      <c r="E20" s="546"/>
      <c r="F20" s="546"/>
      <c r="G20" s="546"/>
      <c r="H20" s="189">
        <f>H12/H19-1</f>
        <v>0.74472780774889658</v>
      </c>
      <c r="I20" s="566"/>
      <c r="J20" s="546"/>
      <c r="K20" s="546"/>
      <c r="L20" s="546"/>
      <c r="M20" s="546"/>
      <c r="N20" s="546"/>
      <c r="O20" s="546"/>
      <c r="P20" s="546"/>
      <c r="Q20" s="546"/>
      <c r="R20" s="546"/>
      <c r="S20" s="546"/>
      <c r="T20" s="546"/>
      <c r="U20" s="562"/>
    </row>
    <row r="21" spans="1:21">
      <c r="A21" s="182"/>
      <c r="B21" s="561" t="s">
        <v>274</v>
      </c>
      <c r="C21" s="546"/>
      <c r="D21" s="546"/>
      <c r="E21" s="546"/>
      <c r="F21" s="546"/>
      <c r="G21" s="546"/>
      <c r="H21" s="569">
        <f>H12*'Operating Model'!AK44/1000000</f>
        <v>7.7535001000000001</v>
      </c>
      <c r="I21" s="190"/>
      <c r="J21" s="546"/>
      <c r="K21" s="546"/>
      <c r="L21"/>
      <c r="M21" s="546"/>
      <c r="N21" s="546"/>
      <c r="O21" s="546"/>
      <c r="P21" s="546"/>
      <c r="Q21" s="546"/>
      <c r="R21" s="546"/>
      <c r="S21" s="546"/>
      <c r="T21" s="546"/>
      <c r="U21" s="562"/>
    </row>
    <row r="22" spans="1:21">
      <c r="A22" s="182"/>
      <c r="B22" s="561" t="s">
        <v>292</v>
      </c>
      <c r="C22" s="546"/>
      <c r="D22" s="546"/>
      <c r="E22" s="546"/>
      <c r="F22" s="546"/>
      <c r="G22" s="546"/>
      <c r="H22" s="569">
        <f>'DCF Valuation'!M23/1000000</f>
        <v>1.9322250000000001</v>
      </c>
      <c r="I22" s="190"/>
      <c r="J22" s="546"/>
      <c r="K22"/>
      <c r="L22" s="546"/>
      <c r="M22" s="546"/>
      <c r="N22" s="546"/>
      <c r="O22" s="546"/>
      <c r="P22" s="546"/>
      <c r="Q22" s="546"/>
      <c r="R22" s="546"/>
      <c r="S22" s="546"/>
      <c r="T22" s="546"/>
      <c r="U22" s="562"/>
    </row>
    <row r="23" spans="1:21">
      <c r="A23" s="182"/>
      <c r="B23" s="561" t="s">
        <v>153</v>
      </c>
      <c r="C23" s="546"/>
      <c r="D23" s="546"/>
      <c r="E23" s="546"/>
      <c r="F23" s="546"/>
      <c r="G23" s="546"/>
      <c r="H23" s="569">
        <f>H21+H22</f>
        <v>9.6857251000000009</v>
      </c>
      <c r="I23" s="570"/>
      <c r="J23" s="546"/>
      <c r="K23" s="546"/>
      <c r="L23" s="546"/>
      <c r="M23" s="546"/>
      <c r="N23" s="546"/>
      <c r="O23" s="546"/>
      <c r="P23" s="546"/>
      <c r="Q23" s="546"/>
      <c r="R23" s="546"/>
      <c r="S23" s="546"/>
      <c r="T23" s="546"/>
      <c r="U23" s="562"/>
    </row>
    <row r="24" spans="1:21">
      <c r="A24" s="182"/>
      <c r="B24" s="561" t="s">
        <v>305</v>
      </c>
      <c r="C24" s="546"/>
      <c r="D24" s="546"/>
      <c r="E24" s="546"/>
      <c r="F24" s="546"/>
      <c r="G24" s="546"/>
      <c r="H24" s="571">
        <f>Beta!K3</f>
        <v>1.1781281311539518</v>
      </c>
      <c r="I24" s="572"/>
      <c r="J24" s="45"/>
      <c r="K24" s="45"/>
      <c r="L24" s="45"/>
      <c r="M24" s="45"/>
      <c r="N24" s="45"/>
      <c r="O24" s="45"/>
      <c r="P24" s="45"/>
      <c r="Q24"/>
      <c r="R24" s="45"/>
      <c r="S24" s="45"/>
      <c r="T24" s="45"/>
      <c r="U24" s="568"/>
    </row>
    <row r="25" spans="1:21">
      <c r="A25" s="182"/>
      <c r="B25" s="561"/>
      <c r="C25" s="546"/>
      <c r="D25" s="546"/>
      <c r="E25" s="546"/>
      <c r="F25" s="546"/>
      <c r="G25" s="546"/>
      <c r="H25" s="573"/>
      <c r="I25" s="572"/>
      <c r="J25" s="45"/>
      <c r="K25" s="45"/>
      <c r="L25" s="45"/>
      <c r="M25" s="45"/>
      <c r="N25" s="45"/>
      <c r="O25" s="45"/>
      <c r="P25" s="45"/>
      <c r="Q25" s="45"/>
      <c r="R25" s="45"/>
      <c r="S25" s="45"/>
      <c r="T25" s="45"/>
      <c r="U25" s="568"/>
    </row>
    <row r="26" spans="1:21">
      <c r="A26" s="182"/>
      <c r="B26" s="561"/>
      <c r="C26" s="546"/>
      <c r="D26" s="546"/>
      <c r="E26" s="546"/>
      <c r="F26" s="546"/>
      <c r="G26" s="546"/>
      <c r="H26" s="573"/>
      <c r="I26" s="572"/>
      <c r="J26" s="546"/>
      <c r="K26" s="546"/>
      <c r="L26" s="546"/>
      <c r="M26" s="546"/>
      <c r="N26" s="546"/>
      <c r="O26" s="546"/>
      <c r="P26" s="546"/>
      <c r="Q26" s="546"/>
      <c r="R26" s="546"/>
      <c r="S26" s="546"/>
      <c r="T26" s="546"/>
      <c r="U26" s="562"/>
    </row>
    <row r="27" spans="1:21" ht="18.75">
      <c r="A27" s="182"/>
      <c r="B27" s="745" t="s">
        <v>306</v>
      </c>
      <c r="C27" s="746"/>
      <c r="D27" s="746"/>
      <c r="E27" s="746"/>
      <c r="F27" s="746"/>
      <c r="G27" s="746"/>
      <c r="H27" s="746"/>
      <c r="I27" s="574"/>
      <c r="J27" s="751"/>
      <c r="K27" s="751"/>
      <c r="L27" s="751"/>
      <c r="M27" s="751"/>
      <c r="N27" s="751"/>
      <c r="O27" s="751"/>
      <c r="P27" s="751"/>
      <c r="Q27" s="751"/>
      <c r="R27" s="751"/>
      <c r="S27" s="751"/>
      <c r="T27" s="751"/>
      <c r="U27" s="752"/>
    </row>
    <row r="28" spans="1:21">
      <c r="A28" s="182"/>
      <c r="B28" s="575"/>
      <c r="C28" s="565"/>
      <c r="D28" s="565"/>
      <c r="E28" s="546"/>
      <c r="F28" s="546"/>
      <c r="G28" s="576" t="s">
        <v>307</v>
      </c>
      <c r="H28" s="577" t="s">
        <v>159</v>
      </c>
      <c r="I28" s="574"/>
      <c r="J28" s="546"/>
      <c r="K28" s="546"/>
      <c r="L28" s="546"/>
      <c r="M28" s="546"/>
      <c r="N28" s="546"/>
      <c r="O28" s="546"/>
      <c r="P28" s="546"/>
      <c r="Q28" s="546"/>
      <c r="R28" s="546"/>
      <c r="S28" s="546"/>
      <c r="T28" s="546"/>
      <c r="U28" s="562"/>
    </row>
    <row r="29" spans="1:21">
      <c r="A29" s="182"/>
      <c r="B29" s="561" t="s">
        <v>320</v>
      </c>
      <c r="C29" s="546"/>
      <c r="D29" s="546"/>
      <c r="E29" s="546"/>
      <c r="F29" s="546"/>
      <c r="G29" s="191">
        <f>'DCF Valuation'!D28</f>
        <v>174.43752132677383</v>
      </c>
      <c r="H29" s="578">
        <f>1/3</f>
        <v>0.33333333333333331</v>
      </c>
      <c r="I29" s="574"/>
      <c r="J29" s="546"/>
      <c r="K29" s="546"/>
      <c r="L29" s="546"/>
      <c r="M29" s="546"/>
      <c r="N29" s="546"/>
      <c r="O29" s="546"/>
      <c r="P29" s="546"/>
      <c r="Q29" s="546"/>
      <c r="R29" s="546"/>
      <c r="S29" s="546"/>
      <c r="T29" s="546"/>
      <c r="U29" s="562"/>
    </row>
    <row r="30" spans="1:21">
      <c r="A30" s="182"/>
      <c r="B30" s="561" t="s">
        <v>308</v>
      </c>
      <c r="C30" s="546"/>
      <c r="D30" s="546"/>
      <c r="E30" s="546"/>
      <c r="F30" s="546"/>
      <c r="G30" s="191">
        <f>'Comparable Valuation'!O16</f>
        <v>197.92229286202479</v>
      </c>
      <c r="H30" s="578">
        <f t="shared" ref="H30" si="0">1/3</f>
        <v>0.33333333333333331</v>
      </c>
      <c r="I30" s="574"/>
      <c r="U30" s="72"/>
    </row>
    <row r="31" spans="1:21">
      <c r="A31" s="182"/>
      <c r="B31" s="561" t="s">
        <v>165</v>
      </c>
      <c r="C31" s="546"/>
      <c r="D31" s="546"/>
      <c r="E31" s="546"/>
      <c r="F31" s="546"/>
      <c r="G31" s="191">
        <f>'Historical Valuation'!P5</f>
        <v>233.89328150266854</v>
      </c>
      <c r="H31" s="578">
        <f>1/3</f>
        <v>0.33333333333333331</v>
      </c>
      <c r="I31" s="574"/>
      <c r="J31" s="45"/>
      <c r="K31" s="45"/>
      <c r="L31" s="45"/>
      <c r="M31" s="45"/>
      <c r="N31" s="45"/>
      <c r="O31" s="45"/>
      <c r="P31" s="45"/>
      <c r="Q31" s="45"/>
      <c r="R31" s="45"/>
      <c r="S31" s="45"/>
      <c r="T31" s="45"/>
      <c r="U31" s="568"/>
    </row>
    <row r="32" spans="1:21">
      <c r="A32" s="182"/>
      <c r="B32" s="579" t="s">
        <v>293</v>
      </c>
      <c r="C32" s="546"/>
      <c r="D32" s="546"/>
      <c r="E32" s="546"/>
      <c r="F32" s="546"/>
      <c r="G32" s="191"/>
      <c r="H32" s="580">
        <f>SUMPRODUCT(G29:G31,H29:H31)</f>
        <v>202.08436523048906</v>
      </c>
      <c r="I32" s="574"/>
      <c r="J32" s="546"/>
      <c r="K32" s="546"/>
      <c r="L32" s="546"/>
      <c r="M32" s="546"/>
      <c r="N32" s="546"/>
      <c r="O32" s="546"/>
      <c r="P32" s="546"/>
      <c r="Q32" s="546"/>
      <c r="R32" s="546"/>
      <c r="S32" s="546"/>
      <c r="T32" s="546"/>
      <c r="U32" s="562"/>
    </row>
    <row r="33" spans="1:21">
      <c r="A33" s="182"/>
      <c r="B33" s="581"/>
      <c r="C33" s="582"/>
      <c r="D33" s="546"/>
      <c r="E33" s="546"/>
      <c r="F33" s="583"/>
      <c r="G33" s="584"/>
      <c r="H33" s="45"/>
      <c r="I33" s="565"/>
      <c r="J33" s="546"/>
      <c r="K33" s="585"/>
      <c r="L33" s="585"/>
      <c r="M33" s="585"/>
      <c r="N33" s="585"/>
      <c r="O33" s="585"/>
      <c r="P33" s="585"/>
      <c r="Q33" s="585"/>
      <c r="R33" s="585"/>
      <c r="S33" s="585"/>
      <c r="T33" s="585"/>
      <c r="U33" s="586"/>
    </row>
    <row r="34" spans="1:21" ht="18.75">
      <c r="A34" s="182"/>
      <c r="B34" s="745" t="s">
        <v>421</v>
      </c>
      <c r="C34" s="746"/>
      <c r="D34" s="746"/>
      <c r="E34" s="746"/>
      <c r="F34" s="746"/>
      <c r="G34" s="746"/>
      <c r="H34" s="746"/>
      <c r="I34" s="587"/>
      <c r="J34" s="746" t="s">
        <v>294</v>
      </c>
      <c r="K34" s="746"/>
      <c r="L34" s="746"/>
      <c r="M34" s="746"/>
      <c r="N34" s="746"/>
      <c r="O34" s="746"/>
      <c r="P34" s="746"/>
      <c r="Q34" s="746"/>
      <c r="R34" s="746"/>
      <c r="S34" s="746"/>
      <c r="T34" s="746"/>
      <c r="U34" s="747"/>
    </row>
    <row r="35" spans="1:21">
      <c r="A35" s="182"/>
      <c r="B35" s="588"/>
      <c r="H35" s="546"/>
      <c r="I35" s="546"/>
      <c r="J35" s="546"/>
      <c r="K35" s="546"/>
      <c r="L35" s="546"/>
      <c r="M35" s="546"/>
      <c r="N35" s="546"/>
      <c r="U35" s="72"/>
    </row>
    <row r="36" spans="1:21">
      <c r="A36" s="182"/>
      <c r="B36" s="561"/>
      <c r="H36" s="546"/>
      <c r="I36" s="546"/>
      <c r="J36" s="546"/>
      <c r="K36" s="546"/>
      <c r="L36" s="546"/>
      <c r="M36" s="546"/>
      <c r="U36" s="72"/>
    </row>
    <row r="37" spans="1:21">
      <c r="A37" s="182"/>
      <c r="B37" s="561"/>
      <c r="H37" s="546"/>
      <c r="I37" s="546"/>
      <c r="K37" s="546"/>
      <c r="L37" s="546"/>
      <c r="M37" s="546"/>
      <c r="U37" s="72"/>
    </row>
    <row r="38" spans="1:21">
      <c r="A38" s="182"/>
      <c r="B38" s="561"/>
      <c r="H38" s="546"/>
      <c r="I38" s="546"/>
      <c r="K38" s="546"/>
      <c r="L38" s="546"/>
      <c r="M38" s="546"/>
      <c r="U38" s="72"/>
    </row>
    <row r="39" spans="1:21">
      <c r="A39" s="182"/>
      <c r="B39" s="561"/>
      <c r="C39" s="546"/>
      <c r="D39" s="546"/>
      <c r="E39" s="546"/>
      <c r="F39" s="589"/>
      <c r="G39" s="546"/>
      <c r="H39" s="546"/>
      <c r="I39" s="546"/>
      <c r="K39" s="546"/>
      <c r="L39" s="546"/>
      <c r="M39" s="546"/>
      <c r="U39" s="72"/>
    </row>
    <row r="40" spans="1:21">
      <c r="A40" s="182"/>
      <c r="B40" s="561"/>
      <c r="C40" s="546" t="s">
        <v>64</v>
      </c>
      <c r="D40" s="546" t="s">
        <v>397</v>
      </c>
      <c r="E40" s="546" t="s">
        <v>320</v>
      </c>
      <c r="F40" s="546" t="s">
        <v>398</v>
      </c>
      <c r="G40" s="589" t="s">
        <v>399</v>
      </c>
      <c r="H40" s="546"/>
      <c r="I40" s="546"/>
      <c r="J40" s="546"/>
      <c r="K40" s="546"/>
      <c r="L40" s="546"/>
      <c r="M40" s="546"/>
      <c r="U40" s="72"/>
    </row>
    <row r="41" spans="1:21">
      <c r="A41" s="182"/>
      <c r="B41" s="561"/>
      <c r="C41" s="546" t="s">
        <v>394</v>
      </c>
      <c r="D41" s="621">
        <f>H19</f>
        <v>81.56</v>
      </c>
      <c r="E41" s="572">
        <f>MIN('DCF Valuation'!D35:H35)</f>
        <v>146.2637477015486</v>
      </c>
      <c r="F41" s="622">
        <f>AVERAGE('Historical Valuation'!H9:H11)</f>
        <v>182.24028294837152</v>
      </c>
      <c r="G41" s="572">
        <f>AVERAGE('Comparable Valuation'!O13:O15)</f>
        <v>63.77504402976431</v>
      </c>
      <c r="H41" s="546"/>
      <c r="I41" s="546"/>
      <c r="J41" s="546"/>
      <c r="K41" s="546"/>
      <c r="L41" s="546"/>
      <c r="M41" s="546"/>
      <c r="U41" s="72"/>
    </row>
    <row r="42" spans="1:21">
      <c r="A42" s="182"/>
      <c r="B42" s="561"/>
      <c r="C42" s="546" t="s">
        <v>395</v>
      </c>
      <c r="D42" s="621">
        <f>D43-D41</f>
        <v>64.490000000000009</v>
      </c>
      <c r="E42" s="572">
        <f>E43-E41</f>
        <v>67.504655104800378</v>
      </c>
      <c r="F42" s="622">
        <f>F43-F41</f>
        <v>97.994536840351685</v>
      </c>
      <c r="G42" s="572">
        <f>G43-G41</f>
        <v>326.47538686634266</v>
      </c>
      <c r="H42" s="546"/>
      <c r="I42" s="546"/>
      <c r="J42" s="546"/>
      <c r="K42" s="546"/>
      <c r="L42" s="546"/>
      <c r="M42" s="546"/>
      <c r="U42" s="72"/>
    </row>
    <row r="43" spans="1:21">
      <c r="A43" s="182"/>
      <c r="B43" s="561"/>
      <c r="C43" s="546" t="s">
        <v>396</v>
      </c>
      <c r="D43" s="621">
        <f>H17</f>
        <v>146.05000000000001</v>
      </c>
      <c r="E43" s="572">
        <f>MAX('DCF Valuation'!D39:H39)</f>
        <v>213.76840280634897</v>
      </c>
      <c r="F43" s="622">
        <f>AVERAGE('Historical Valuation'!J9:J11)</f>
        <v>280.2348197887232</v>
      </c>
      <c r="G43" s="572">
        <f>AVERAGE('Comparable Valuation'!M13:M15)</f>
        <v>390.25043089610699</v>
      </c>
      <c r="H43" s="546"/>
      <c r="I43" s="546"/>
      <c r="J43" s="546"/>
      <c r="K43" s="546"/>
      <c r="L43" s="546"/>
      <c r="M43" s="546"/>
      <c r="U43" s="72"/>
    </row>
    <row r="44" spans="1:21">
      <c r="A44" s="182"/>
      <c r="B44" s="561"/>
      <c r="C44" s="546"/>
      <c r="D44" s="546"/>
      <c r="E44" s="546"/>
      <c r="F44" s="546"/>
      <c r="G44" s="546"/>
      <c r="H44" s="546"/>
      <c r="I44" s="546"/>
      <c r="J44" s="546"/>
      <c r="K44" s="546"/>
      <c r="L44" s="546"/>
      <c r="M44" s="546"/>
      <c r="U44" s="72"/>
    </row>
    <row r="45" spans="1:21">
      <c r="A45" s="182"/>
      <c r="B45" s="561"/>
      <c r="C45" s="546"/>
      <c r="D45" s="546"/>
      <c r="E45" s="546"/>
      <c r="F45" s="546"/>
      <c r="I45" s="546"/>
      <c r="J45" s="546"/>
      <c r="K45" s="546"/>
      <c r="L45" s="546"/>
      <c r="M45" s="546"/>
      <c r="U45" s="72"/>
    </row>
    <row r="46" spans="1:21">
      <c r="A46" s="182"/>
      <c r="B46" s="561"/>
      <c r="C46" s="546"/>
      <c r="D46" s="546"/>
      <c r="E46" s="546"/>
      <c r="F46" s="546"/>
      <c r="G46" s="546"/>
      <c r="H46" s="546"/>
      <c r="I46" s="546"/>
      <c r="J46" s="546"/>
      <c r="K46" s="546"/>
      <c r="L46" s="546"/>
      <c r="M46" s="546"/>
      <c r="U46" s="72"/>
    </row>
    <row r="47" spans="1:21">
      <c r="A47" s="182"/>
      <c r="B47" s="561"/>
      <c r="C47" s="546"/>
      <c r="D47" s="546"/>
      <c r="E47" s="546"/>
      <c r="F47" s="546"/>
      <c r="G47" s="546"/>
      <c r="H47" s="546"/>
      <c r="I47" s="546"/>
      <c r="J47" s="546"/>
      <c r="K47" s="546"/>
      <c r="L47" s="546"/>
      <c r="M47" s="546"/>
      <c r="U47" s="72"/>
    </row>
    <row r="48" spans="1:21">
      <c r="A48" s="182"/>
      <c r="B48" s="561"/>
      <c r="C48" s="546"/>
      <c r="D48" s="546"/>
      <c r="E48" s="546"/>
      <c r="F48" s="546"/>
      <c r="G48" s="546"/>
      <c r="H48" s="546"/>
      <c r="I48" s="546"/>
      <c r="J48" s="546"/>
      <c r="K48" s="546"/>
      <c r="L48" s="546"/>
      <c r="M48" s="546"/>
      <c r="U48" s="72"/>
    </row>
    <row r="49" spans="1:31" ht="9.75" customHeight="1">
      <c r="A49" s="182"/>
      <c r="B49" s="591"/>
      <c r="C49" s="592"/>
      <c r="D49" s="592"/>
      <c r="E49" s="592"/>
      <c r="F49" s="592"/>
      <c r="G49" s="593"/>
      <c r="H49" s="180"/>
      <c r="I49" s="45"/>
      <c r="J49" s="546"/>
      <c r="K49" s="546"/>
      <c r="L49" s="546"/>
      <c r="M49" s="546"/>
      <c r="N49" s="546"/>
      <c r="O49" s="546"/>
      <c r="P49" s="546"/>
      <c r="Q49" s="546"/>
      <c r="R49" s="546"/>
      <c r="S49" s="546"/>
      <c r="T49" s="546"/>
      <c r="U49" s="562"/>
    </row>
    <row r="50" spans="1:31" ht="18.75">
      <c r="A50" s="182"/>
      <c r="B50" s="745" t="s">
        <v>381</v>
      </c>
      <c r="C50" s="746"/>
      <c r="D50" s="746"/>
      <c r="E50" s="746"/>
      <c r="F50" s="746"/>
      <c r="G50" s="746"/>
      <c r="H50" s="746"/>
      <c r="I50" s="594"/>
      <c r="J50" s="546"/>
      <c r="K50" s="546"/>
      <c r="L50" s="546"/>
      <c r="M50" s="546"/>
      <c r="N50" s="546"/>
      <c r="O50" s="546"/>
      <c r="P50" s="546"/>
      <c r="Q50" s="546"/>
      <c r="R50" s="546"/>
      <c r="S50" s="546"/>
      <c r="T50" s="546"/>
      <c r="U50" s="562"/>
    </row>
    <row r="51" spans="1:31" ht="30">
      <c r="A51" s="182"/>
      <c r="B51" s="595" t="s">
        <v>295</v>
      </c>
      <c r="C51" s="576" t="s">
        <v>309</v>
      </c>
      <c r="D51" s="576" t="s">
        <v>296</v>
      </c>
      <c r="E51" s="596" t="s">
        <v>380</v>
      </c>
      <c r="F51" s="597" t="s">
        <v>297</v>
      </c>
      <c r="G51" s="629" t="s">
        <v>382</v>
      </c>
      <c r="H51" s="629" t="s">
        <v>383</v>
      </c>
      <c r="I51" s="546"/>
      <c r="J51" s="590"/>
      <c r="K51" s="546"/>
      <c r="L51" s="546"/>
      <c r="M51" s="546"/>
      <c r="N51" s="546"/>
      <c r="O51" s="546"/>
      <c r="P51" s="546"/>
      <c r="Q51" s="546"/>
      <c r="R51" s="546"/>
      <c r="S51" s="546"/>
      <c r="T51" s="546"/>
      <c r="U51" s="562"/>
    </row>
    <row r="52" spans="1:31">
      <c r="A52" s="182"/>
      <c r="B52" s="595"/>
      <c r="C52" s="576"/>
      <c r="D52" s="576"/>
      <c r="E52" s="596"/>
      <c r="F52" s="597"/>
      <c r="G52" s="598"/>
      <c r="H52" s="598"/>
      <c r="I52" s="546"/>
      <c r="J52" s="589"/>
      <c r="K52" s="546"/>
      <c r="L52" s="546"/>
      <c r="M52" s="546"/>
      <c r="N52" s="546"/>
      <c r="O52" s="546"/>
      <c r="P52" s="546"/>
      <c r="Q52" s="546"/>
      <c r="R52" s="546"/>
      <c r="S52" s="546"/>
      <c r="T52" s="546"/>
      <c r="U52" s="562"/>
      <c r="AE52" s="724"/>
    </row>
    <row r="53" spans="1:31">
      <c r="A53" s="182"/>
      <c r="B53" s="561" t="s">
        <v>298</v>
      </c>
      <c r="C53" s="599">
        <f>'Operating Model'!Y23</f>
        <v>3144097</v>
      </c>
      <c r="D53" s="599">
        <f>'Operating Model'!AE23</f>
        <v>3805566</v>
      </c>
      <c r="E53" s="599">
        <f>'Operating Model'!AK23</f>
        <v>5166605</v>
      </c>
      <c r="F53" s="599">
        <f>'Operating Model'!AQ23</f>
        <v>5620110.7600000007</v>
      </c>
      <c r="G53" s="543">
        <f>_xlfn.RRI(5,'Operating Model'!G23,'Operating Model'!AK23)</f>
        <v>0.11898596923030147</v>
      </c>
      <c r="H53" s="543">
        <f>_xlfn.RRI(4,'Operating Model'!AQ23,'Operating Model'!BO23)</f>
        <v>0.14211197812279575</v>
      </c>
      <c r="I53" s="565"/>
      <c r="J53" s="590"/>
      <c r="K53" s="546"/>
      <c r="L53" s="546"/>
      <c r="M53" s="546"/>
      <c r="N53" s="546"/>
      <c r="O53" s="546"/>
      <c r="P53" s="546"/>
      <c r="Q53" s="546"/>
      <c r="R53" s="546"/>
      <c r="S53" s="546"/>
      <c r="T53" s="546"/>
      <c r="U53" s="562"/>
    </row>
    <row r="54" spans="1:31">
      <c r="A54" s="182"/>
      <c r="B54" s="600" t="s">
        <v>299</v>
      </c>
      <c r="C54" s="192">
        <f>'Operating Model'!Y20</f>
        <v>-7.8569188702856563E-2</v>
      </c>
      <c r="D54" s="192">
        <f>D53/C53-1</f>
        <v>0.21038441244020145</v>
      </c>
      <c r="E54" s="192">
        <f t="shared" ref="E54:F54" si="1">E53/D53-1</f>
        <v>0.35764430310760598</v>
      </c>
      <c r="F54" s="192">
        <f t="shared" si="1"/>
        <v>8.7776356040378589E-2</v>
      </c>
      <c r="G54" s="544"/>
      <c r="H54" s="601"/>
      <c r="I54" s="602"/>
      <c r="J54" s="589"/>
      <c r="K54" s="546"/>
      <c r="L54" s="546"/>
      <c r="M54" s="546"/>
      <c r="N54" s="546"/>
      <c r="O54" s="546"/>
      <c r="P54" s="546"/>
      <c r="Q54" s="546"/>
      <c r="R54" s="546"/>
      <c r="S54" s="546"/>
      <c r="T54" s="546"/>
      <c r="U54" s="562"/>
    </row>
    <row r="55" spans="1:31">
      <c r="A55" s="182"/>
      <c r="B55" s="567" t="s">
        <v>198</v>
      </c>
      <c r="C55" s="192">
        <f>'Operating Model'!Y26</f>
        <v>0.3200747305188103</v>
      </c>
      <c r="D55" s="192">
        <f>'Operating Model'!AE26</f>
        <v>0.31420529823947346</v>
      </c>
      <c r="E55" s="192">
        <f>'Operating Model'!AK26</f>
        <v>0.31406987760821664</v>
      </c>
      <c r="F55" s="192">
        <f>'Operating Model'!AQ26</f>
        <v>0.3051506250042757</v>
      </c>
      <c r="G55" s="603"/>
      <c r="H55" s="603"/>
      <c r="I55" s="604"/>
      <c r="J55" s="590"/>
      <c r="K55" s="546"/>
      <c r="L55" s="546"/>
      <c r="M55" s="546"/>
      <c r="N55" s="546"/>
      <c r="O55" s="546"/>
      <c r="P55" s="546"/>
      <c r="Q55" s="546"/>
      <c r="R55" s="546"/>
      <c r="S55" s="546"/>
      <c r="T55" s="546"/>
      <c r="U55" s="562"/>
    </row>
    <row r="56" spans="1:31">
      <c r="A56" s="182"/>
      <c r="B56" s="561" t="s">
        <v>87</v>
      </c>
      <c r="C56" s="599">
        <f>'Operating Model'!Y31</f>
        <v>251336</v>
      </c>
      <c r="D56" s="599">
        <f>'Operating Model'!AE31</f>
        <v>347887</v>
      </c>
      <c r="E56" s="599">
        <f>'Operating Model'!AK31</f>
        <v>634747</v>
      </c>
      <c r="F56" s="599">
        <f>'Operating Model'!AQ31</f>
        <v>605156.60028494825</v>
      </c>
      <c r="G56" s="543">
        <f>_xlfn.RRI(5,'Operating Model'!G31,'Operating Model'!AK31)</f>
        <v>0.37794204989479274</v>
      </c>
      <c r="H56" s="543">
        <f>_xlfn.RRI(4,'Operating Model'!AQ31,'Operating Model'!BO31)</f>
        <v>8.1806445438859621E-2</v>
      </c>
      <c r="I56" s="45"/>
      <c r="J56" s="589"/>
      <c r="K56" s="546"/>
      <c r="L56" s="546"/>
      <c r="M56" s="546"/>
      <c r="N56" s="546"/>
      <c r="O56" s="546"/>
      <c r="P56" s="546"/>
      <c r="Q56" s="546"/>
      <c r="R56" s="546"/>
      <c r="S56" s="546"/>
      <c r="T56" s="546"/>
      <c r="U56" s="562"/>
    </row>
    <row r="57" spans="1:31">
      <c r="A57" s="182"/>
      <c r="B57" s="605" t="s">
        <v>299</v>
      </c>
      <c r="C57" s="192">
        <f>C56/'Operating Model'!S31-1</f>
        <v>9.5355972386862886E-2</v>
      </c>
      <c r="D57" s="192">
        <f>D56/C56-1</f>
        <v>0.38415109654008983</v>
      </c>
      <c r="E57" s="192">
        <f>E56/D56-1</f>
        <v>0.82457809576097985</v>
      </c>
      <c r="F57" s="192">
        <f>F56/E56-1</f>
        <v>-4.6617628307107806E-2</v>
      </c>
      <c r="G57" s="545"/>
      <c r="H57" s="545"/>
      <c r="I57" s="546"/>
      <c r="J57" s="590"/>
      <c r="K57" s="585"/>
      <c r="L57" s="585"/>
      <c r="M57" s="585"/>
      <c r="N57" s="585"/>
      <c r="O57" s="585"/>
      <c r="P57" s="585"/>
      <c r="Q57" s="585"/>
      <c r="R57" s="585"/>
      <c r="S57" s="585"/>
      <c r="T57" s="585"/>
      <c r="U57" s="586"/>
    </row>
    <row r="58" spans="1:31">
      <c r="A58" s="182"/>
      <c r="B58" s="561" t="s">
        <v>86</v>
      </c>
      <c r="C58" s="599">
        <f>'Operating Model'!Y29</f>
        <v>544251</v>
      </c>
      <c r="D58" s="599">
        <f>'Operating Model'!AE29</f>
        <v>646022</v>
      </c>
      <c r="E58" s="599">
        <f>'Operating Model'!AK29</f>
        <v>982341</v>
      </c>
      <c r="F58" s="599">
        <f>'Operating Model'!AQ29</f>
        <v>981550.42210969212</v>
      </c>
      <c r="G58" s="543">
        <f>_xlfn.RRI(5,'Operating Model'!G29,'Operating Model'!AK29)</f>
        <v>0.18738802595149395</v>
      </c>
      <c r="H58" s="543">
        <f>_xlfn.RRI(4,'Operating Model'!AQ29,'Operating Model'!BO29)</f>
        <v>0.13077518945601652</v>
      </c>
      <c r="I58" s="604"/>
      <c r="J58" s="589"/>
      <c r="K58" s="585"/>
      <c r="L58" s="585"/>
      <c r="M58" s="585"/>
      <c r="N58" s="585"/>
      <c r="O58" s="585"/>
      <c r="P58" s="585"/>
      <c r="Q58" s="585"/>
      <c r="R58" s="585"/>
      <c r="S58" s="585"/>
      <c r="T58" s="585"/>
      <c r="U58" s="586"/>
    </row>
    <row r="59" spans="1:31">
      <c r="A59" s="182"/>
      <c r="B59" s="567" t="s">
        <v>299</v>
      </c>
      <c r="C59" s="192">
        <f>Tear!C58/'Operating Model'!S29-1</f>
        <v>2.6538106797489913E-2</v>
      </c>
      <c r="D59" s="192">
        <f>D58/C58-1</f>
        <v>0.18699276620529859</v>
      </c>
      <c r="E59" s="192">
        <f>E58/D58-1</f>
        <v>0.52059991764986324</v>
      </c>
      <c r="F59" s="192">
        <f>F58/E58-1</f>
        <v>-8.0478967110997335E-4</v>
      </c>
      <c r="G59" s="544"/>
      <c r="H59" s="544"/>
      <c r="I59" s="45"/>
      <c r="J59" s="546"/>
      <c r="K59" s="585"/>
      <c r="L59" s="585"/>
      <c r="M59" s="585"/>
      <c r="N59" s="585"/>
      <c r="O59" s="585"/>
      <c r="P59" s="585"/>
      <c r="Q59" s="585"/>
      <c r="R59" s="585"/>
      <c r="S59" s="585"/>
      <c r="T59" s="585"/>
      <c r="U59" s="586"/>
    </row>
    <row r="60" spans="1:31">
      <c r="A60" s="182"/>
      <c r="B60" s="561" t="s">
        <v>80</v>
      </c>
      <c r="C60" s="599">
        <f>'Operating Model'!Y38</f>
        <v>134837</v>
      </c>
      <c r="D60" s="599">
        <f>'Operating Model'!AE38</f>
        <v>203247</v>
      </c>
      <c r="E60" s="599">
        <f>'Operating Model'!AK38</f>
        <v>411744</v>
      </c>
      <c r="F60" s="599">
        <f>'Operating Model'!AQ38</f>
        <v>460258.44303677307</v>
      </c>
      <c r="G60" s="543">
        <f>_xlfn.RRI(5,'Operating Model'!G38,'Operating Model'!AK38)</f>
        <v>0.32521373605010484</v>
      </c>
      <c r="H60" s="543">
        <f>_xlfn.RRI(4,'Operating Model'!AQ38,'Operating Model'!BO38)</f>
        <v>8.3056647772812964E-2</v>
      </c>
      <c r="I60" s="194"/>
      <c r="J60" s="546"/>
      <c r="K60" s="546"/>
      <c r="L60" s="546"/>
      <c r="M60" s="546"/>
      <c r="N60" s="546"/>
      <c r="O60" s="546"/>
      <c r="P60" s="546"/>
      <c r="Q60" s="546"/>
      <c r="R60" s="546"/>
      <c r="S60" s="546"/>
      <c r="T60" s="546"/>
      <c r="U60" s="562"/>
    </row>
    <row r="61" spans="1:31">
      <c r="A61" s="182"/>
      <c r="B61" s="605" t="s">
        <v>299</v>
      </c>
      <c r="C61" s="192">
        <f>C60/'Operating Model'!S38</f>
        <v>1.379547779824023</v>
      </c>
      <c r="D61" s="192">
        <f>D60/C60-1</f>
        <v>0.50735332290098412</v>
      </c>
      <c r="E61" s="192">
        <f>E60/D60-1</f>
        <v>1.0258306395666357</v>
      </c>
      <c r="F61" s="192">
        <f>F60/E60-1</f>
        <v>0.11782671523270061</v>
      </c>
      <c r="G61" s="193"/>
      <c r="H61" s="193"/>
      <c r="I61" s="45"/>
      <c r="J61" s="546"/>
      <c r="K61" s="546"/>
      <c r="L61" s="546"/>
      <c r="M61" s="546"/>
      <c r="N61" s="546"/>
      <c r="O61" s="546"/>
      <c r="P61" s="546"/>
      <c r="Q61" s="546"/>
      <c r="R61" s="546"/>
      <c r="S61" s="546"/>
      <c r="T61" s="546"/>
      <c r="U61" s="562"/>
    </row>
    <row r="62" spans="1:31" ht="18.75">
      <c r="A62" s="182"/>
      <c r="B62" s="745" t="s">
        <v>310</v>
      </c>
      <c r="C62" s="746"/>
      <c r="D62" s="746"/>
      <c r="E62" s="746"/>
      <c r="F62" s="746"/>
      <c r="G62" s="746"/>
      <c r="H62" s="746"/>
      <c r="I62" s="195"/>
      <c r="J62" s="546"/>
      <c r="K62" s="546"/>
      <c r="L62" s="546"/>
      <c r="M62" s="546"/>
      <c r="N62" s="546"/>
      <c r="O62" s="546"/>
      <c r="P62" s="546"/>
      <c r="Q62" s="546"/>
      <c r="R62" s="546"/>
      <c r="S62" s="546"/>
      <c r="T62" s="546"/>
      <c r="U62" s="562"/>
    </row>
    <row r="63" spans="1:31" ht="19.5" customHeight="1">
      <c r="A63" s="182"/>
      <c r="B63" s="561" t="s">
        <v>384</v>
      </c>
      <c r="C63" s="546"/>
      <c r="D63" s="546"/>
      <c r="E63" s="546"/>
      <c r="F63" s="546"/>
      <c r="G63" s="546"/>
      <c r="H63" s="606">
        <f>'Historical Valuation'!L6</f>
        <v>15.101754010892691</v>
      </c>
      <c r="I63" s="565"/>
      <c r="J63" s="546"/>
      <c r="K63" s="546"/>
      <c r="L63" s="546"/>
      <c r="M63" s="546"/>
      <c r="N63" s="546"/>
      <c r="O63" s="546"/>
      <c r="P63" s="546"/>
      <c r="Q63" s="546"/>
      <c r="R63" s="546"/>
      <c r="S63" s="546"/>
      <c r="T63" s="546"/>
      <c r="U63" s="562"/>
    </row>
    <row r="64" spans="1:31">
      <c r="A64" s="182"/>
      <c r="B64" s="591" t="s">
        <v>385</v>
      </c>
      <c r="C64" s="546"/>
      <c r="D64" s="546"/>
      <c r="E64" s="546"/>
      <c r="F64" s="546"/>
      <c r="G64" s="546"/>
      <c r="H64" s="606">
        <f>'Historical Valuation'!D25</f>
        <v>36.895592913188551</v>
      </c>
      <c r="I64" s="546"/>
      <c r="J64" s="585"/>
      <c r="K64" s="585"/>
      <c r="L64" s="585"/>
      <c r="M64" s="585"/>
      <c r="N64" s="585"/>
      <c r="O64" s="585"/>
      <c r="P64" s="585"/>
      <c r="Q64" s="585"/>
      <c r="R64" s="585"/>
      <c r="S64" s="585"/>
      <c r="T64" s="585"/>
      <c r="U64" s="586"/>
    </row>
    <row r="65" spans="1:23">
      <c r="A65" s="182"/>
      <c r="B65" s="561" t="s">
        <v>388</v>
      </c>
      <c r="C65" s="546"/>
      <c r="D65" s="546"/>
      <c r="E65" s="546"/>
      <c r="F65" s="546"/>
      <c r="G65" s="546"/>
      <c r="H65" s="607">
        <f>'Historical Valuation'!L4</f>
        <v>1.575557179900728</v>
      </c>
      <c r="I65" s="546"/>
      <c r="J65" s="585"/>
      <c r="K65" s="585"/>
      <c r="L65" s="585"/>
      <c r="M65" s="585"/>
      <c r="N65" s="585"/>
      <c r="O65" s="585"/>
      <c r="P65" s="585"/>
      <c r="Q65" s="585"/>
      <c r="R65" s="585"/>
      <c r="S65" s="585"/>
      <c r="T65" s="585"/>
      <c r="U65" s="586"/>
    </row>
    <row r="66" spans="1:23">
      <c r="A66" s="182"/>
      <c r="B66" s="591" t="s">
        <v>389</v>
      </c>
      <c r="C66" s="546"/>
      <c r="D66" s="546"/>
      <c r="E66" s="546"/>
      <c r="F66" s="546"/>
      <c r="G66" s="546"/>
      <c r="H66" s="607">
        <f>'Historical Valuation'!D5</f>
        <v>1.7163431471023931</v>
      </c>
      <c r="I66" s="546"/>
      <c r="J66" s="546"/>
      <c r="K66" s="546"/>
      <c r="L66" s="546"/>
      <c r="M66" s="546"/>
      <c r="N66" s="546"/>
      <c r="O66" s="546"/>
      <c r="P66" s="546"/>
      <c r="Q66" s="546"/>
      <c r="R66" s="546"/>
      <c r="S66" s="546"/>
      <c r="T66" s="546"/>
      <c r="U66" s="562"/>
    </row>
    <row r="67" spans="1:23">
      <c r="A67" s="182"/>
      <c r="B67" s="561" t="s">
        <v>386</v>
      </c>
      <c r="C67" s="546"/>
      <c r="D67" s="546"/>
      <c r="E67" s="546"/>
      <c r="F67" s="546"/>
      <c r="G67" s="546"/>
      <c r="H67" s="607">
        <f>'Historical Valuation'!L5</f>
        <v>8.2866149366268953</v>
      </c>
      <c r="I67" s="546"/>
      <c r="J67" s="546"/>
      <c r="K67" s="546"/>
      <c r="L67" s="546"/>
      <c r="M67" s="546"/>
      <c r="N67" s="546"/>
      <c r="O67" s="546"/>
      <c r="P67" s="546"/>
      <c r="Q67" s="546"/>
      <c r="R67" s="546"/>
      <c r="S67" s="546"/>
      <c r="T67" s="546"/>
      <c r="U67" s="562"/>
    </row>
    <row r="68" spans="1:23">
      <c r="A68" s="182"/>
      <c r="B68" s="591" t="s">
        <v>387</v>
      </c>
      <c r="C68" s="546"/>
      <c r="D68" s="546"/>
      <c r="E68" s="546"/>
      <c r="F68" s="546"/>
      <c r="G68" s="546"/>
      <c r="H68" s="607">
        <f>'Historical Valuation'!D15</f>
        <v>10.4940887061874</v>
      </c>
      <c r="I68" s="583"/>
      <c r="J68" s="546"/>
      <c r="K68" s="546"/>
      <c r="L68" s="546"/>
      <c r="M68" s="546"/>
      <c r="N68" s="546"/>
      <c r="O68" s="546"/>
      <c r="P68" s="546"/>
      <c r="Q68" s="546"/>
      <c r="R68" s="546"/>
      <c r="S68" s="546"/>
      <c r="T68" s="546"/>
      <c r="U68" s="562"/>
    </row>
    <row r="69" spans="1:23" ht="18.75">
      <c r="A69" s="182"/>
      <c r="B69" s="745" t="s">
        <v>311</v>
      </c>
      <c r="C69" s="746"/>
      <c r="D69" s="746"/>
      <c r="E69" s="746"/>
      <c r="F69" s="746"/>
      <c r="G69" s="746"/>
      <c r="H69" s="746"/>
      <c r="I69" s="608"/>
      <c r="J69" s="746" t="s">
        <v>300</v>
      </c>
      <c r="K69" s="746"/>
      <c r="L69" s="746"/>
      <c r="M69" s="746"/>
      <c r="N69" s="746"/>
      <c r="O69" s="746"/>
      <c r="P69" s="746"/>
      <c r="Q69" s="746"/>
      <c r="R69" s="746"/>
      <c r="S69" s="746"/>
      <c r="T69" s="746"/>
      <c r="U69" s="747"/>
    </row>
    <row r="70" spans="1:23">
      <c r="A70" s="182"/>
      <c r="B70" s="579"/>
      <c r="C70" s="582"/>
      <c r="D70" s="609">
        <v>1</v>
      </c>
      <c r="E70" s="609">
        <f>+D70+1</f>
        <v>2</v>
      </c>
      <c r="F70" s="609">
        <f t="shared" ref="F70" si="2">+E70+1</f>
        <v>3</v>
      </c>
      <c r="G70" s="609">
        <f>+F70+1</f>
        <v>4</v>
      </c>
      <c r="H70" s="608" t="s">
        <v>301</v>
      </c>
      <c r="I70" s="546"/>
      <c r="J70" s="45"/>
      <c r="K70" s="45"/>
      <c r="L70" s="45"/>
      <c r="M70" s="45"/>
      <c r="N70" s="45"/>
      <c r="O70" s="45"/>
      <c r="P70" s="45"/>
      <c r="Q70" s="45"/>
      <c r="R70" s="45"/>
      <c r="S70" s="45"/>
      <c r="T70" s="45"/>
      <c r="U70" s="568"/>
    </row>
    <row r="71" spans="1:23" ht="15" customHeight="1">
      <c r="A71" s="182"/>
      <c r="B71" s="561" t="s">
        <v>390</v>
      </c>
      <c r="C71" s="546"/>
      <c r="D71" s="583">
        <f>'Operating Model'!AS42</f>
        <v>1.3792131169922461</v>
      </c>
      <c r="E71" s="583">
        <f>'Operating Model'!AT42</f>
        <v>2.4457029277371212</v>
      </c>
      <c r="F71" s="583">
        <f>'Operating Model'!AU42</f>
        <v>2.4054970921471948</v>
      </c>
      <c r="G71" s="583">
        <f>'Operating Model'!AV42</f>
        <v>1.6583717127179849</v>
      </c>
      <c r="H71" s="610">
        <f>'Operating Model'!AW42</f>
        <v>7.888784849594547</v>
      </c>
      <c r="I71" s="546"/>
      <c r="U71" s="72"/>
    </row>
    <row r="72" spans="1:23">
      <c r="A72" s="182"/>
      <c r="B72" s="611" t="s">
        <v>297</v>
      </c>
      <c r="C72" s="612"/>
      <c r="D72" s="583">
        <f>'Operating Model'!AM42</f>
        <v>1.1455531597006854</v>
      </c>
      <c r="E72" s="583">
        <f>'Operating Model'!AN42</f>
        <v>2.1963639849156351</v>
      </c>
      <c r="F72" s="583">
        <f>'Operating Model'!AO42</f>
        <v>2.1784010833574454</v>
      </c>
      <c r="G72" s="583">
        <f>'Operating Model'!AP42</f>
        <v>1.4364521720569832</v>
      </c>
      <c r="H72" s="610">
        <f>'Operating Model'!AQ42</f>
        <v>6.9567704000307486</v>
      </c>
      <c r="I72" s="546"/>
      <c r="J72" s="45"/>
      <c r="K72" s="45"/>
      <c r="L72" s="45"/>
      <c r="M72" s="45"/>
      <c r="N72" s="45"/>
      <c r="O72" s="45"/>
      <c r="P72" s="45"/>
      <c r="Q72" s="45"/>
      <c r="R72" s="45"/>
      <c r="S72" s="45"/>
      <c r="T72" s="45"/>
      <c r="U72" s="568"/>
    </row>
    <row r="73" spans="1:23">
      <c r="A73" s="182"/>
      <c r="B73" s="611" t="s">
        <v>380</v>
      </c>
      <c r="C73" s="612"/>
      <c r="D73" s="583">
        <f>'Operating Model'!AG42</f>
        <v>0.82883377231489608</v>
      </c>
      <c r="E73" s="583">
        <f>'Operating Model'!AH42</f>
        <v>2.7136472699965202</v>
      </c>
      <c r="F73" s="583">
        <f>'Operating Model'!AI42</f>
        <v>2.497177322962064</v>
      </c>
      <c r="G73" s="583">
        <f>'Operating Model'!AJ42</f>
        <v>1.5164285582951809</v>
      </c>
      <c r="H73" s="610">
        <f>'Operating Model'!AK42</f>
        <v>7.5567383045497092</v>
      </c>
      <c r="I73" s="546"/>
      <c r="J73" s="45"/>
      <c r="K73" s="45"/>
      <c r="L73" s="45"/>
      <c r="M73" s="45"/>
      <c r="N73" s="45"/>
      <c r="O73" s="45"/>
      <c r="P73" s="45"/>
      <c r="Q73" s="45"/>
      <c r="R73" s="45"/>
      <c r="S73" s="45"/>
      <c r="T73" s="45"/>
      <c r="U73" s="568"/>
    </row>
    <row r="74" spans="1:23" ht="18.75">
      <c r="A74" s="182"/>
      <c r="B74" s="745" t="s">
        <v>312</v>
      </c>
      <c r="C74" s="746"/>
      <c r="D74" s="746"/>
      <c r="E74" s="746"/>
      <c r="F74" s="746"/>
      <c r="G74" s="746"/>
      <c r="H74" s="746"/>
      <c r="I74" s="546"/>
      <c r="J74" s="546"/>
      <c r="K74" s="546"/>
      <c r="L74" s="546"/>
      <c r="M74" s="546"/>
      <c r="N74" s="546"/>
      <c r="O74" s="546"/>
      <c r="P74" s="546"/>
      <c r="Q74" s="546"/>
      <c r="R74" s="546"/>
      <c r="S74" s="546"/>
      <c r="T74" s="546"/>
      <c r="U74" s="562"/>
    </row>
    <row r="75" spans="1:23">
      <c r="A75" s="182"/>
      <c r="B75" s="579"/>
      <c r="C75" s="582"/>
      <c r="D75" s="609">
        <v>1</v>
      </c>
      <c r="E75" s="609">
        <f>+D75+1</f>
        <v>2</v>
      </c>
      <c r="F75" s="609">
        <f t="shared" ref="F75" si="3">+E75+1</f>
        <v>3</v>
      </c>
      <c r="G75" s="609">
        <f>+F75+1</f>
        <v>4</v>
      </c>
      <c r="H75" s="608" t="s">
        <v>301</v>
      </c>
      <c r="I75" s="546"/>
      <c r="J75" s="45"/>
      <c r="K75" s="45"/>
      <c r="L75" s="45"/>
      <c r="M75" s="45"/>
      <c r="N75" s="45"/>
      <c r="O75" s="45"/>
      <c r="P75" s="45"/>
      <c r="Q75" s="45"/>
      <c r="R75" s="45"/>
      <c r="S75" s="45"/>
      <c r="T75" s="45"/>
      <c r="U75" s="568"/>
    </row>
    <row r="76" spans="1:23">
      <c r="A76" s="182"/>
      <c r="B76" s="561" t="s">
        <v>390</v>
      </c>
      <c r="C76" s="546"/>
      <c r="D76" s="613">
        <v>1.31</v>
      </c>
      <c r="E76" s="613">
        <v>2.4500000000000002</v>
      </c>
      <c r="F76" s="613">
        <v>2.2599999999999998</v>
      </c>
      <c r="G76" s="613">
        <v>1.64</v>
      </c>
      <c r="H76" s="610">
        <f>SUM(D76:G76)</f>
        <v>7.6599999999999993</v>
      </c>
      <c r="I76" s="546"/>
      <c r="J76" s="546"/>
      <c r="K76" s="546"/>
      <c r="L76" s="546"/>
      <c r="M76" s="546"/>
      <c r="N76" s="546"/>
      <c r="O76" s="546"/>
      <c r="P76" s="546"/>
      <c r="Q76" s="546"/>
      <c r="R76" s="546"/>
      <c r="S76" s="546"/>
      <c r="T76" s="546"/>
      <c r="U76" s="562"/>
    </row>
    <row r="77" spans="1:23">
      <c r="A77" s="182"/>
      <c r="B77" s="611" t="s">
        <v>297</v>
      </c>
      <c r="C77" s="612"/>
      <c r="D77" s="613">
        <v>1.1499999999999999</v>
      </c>
      <c r="E77" s="613">
        <v>2.19</v>
      </c>
      <c r="F77" s="613">
        <v>2.0699999999999998</v>
      </c>
      <c r="G77" s="613">
        <v>1.44</v>
      </c>
      <c r="H77" s="610">
        <f>SUM(D77:G77)</f>
        <v>6.85</v>
      </c>
      <c r="I77" s="546"/>
      <c r="J77" s="546"/>
      <c r="K77" s="546"/>
      <c r="L77" s="546"/>
      <c r="M77" s="546"/>
      <c r="N77" s="546"/>
      <c r="O77" s="546"/>
      <c r="P77" s="546"/>
      <c r="Q77" s="546"/>
      <c r="R77" s="546"/>
      <c r="S77" s="546"/>
      <c r="T77" s="546"/>
      <c r="U77" s="562"/>
    </row>
    <row r="78" spans="1:23">
      <c r="A78" s="182"/>
      <c r="B78" s="611" t="s">
        <v>380</v>
      </c>
      <c r="C78" s="612"/>
      <c r="D78" s="583">
        <f>D73</f>
        <v>0.82883377231489608</v>
      </c>
      <c r="E78" s="583">
        <f>E73</f>
        <v>2.7136472699965202</v>
      </c>
      <c r="F78" s="583">
        <f>F73</f>
        <v>2.497177322962064</v>
      </c>
      <c r="G78" s="583">
        <f>G73</f>
        <v>1.5164285582951809</v>
      </c>
      <c r="H78" s="610">
        <f>SUM(D78:G78)</f>
        <v>7.5560869235686612</v>
      </c>
      <c r="I78" s="546"/>
      <c r="J78" s="546"/>
      <c r="K78" s="546"/>
      <c r="L78" s="546"/>
      <c r="M78" s="546"/>
      <c r="N78" s="546"/>
      <c r="O78" s="546"/>
      <c r="P78" s="546"/>
      <c r="Q78" s="546"/>
      <c r="R78" s="546"/>
      <c r="S78" s="546"/>
      <c r="T78" s="546"/>
      <c r="U78" s="562"/>
      <c r="W78" s="196"/>
    </row>
    <row r="79" spans="1:23" ht="18.75">
      <c r="A79" s="182"/>
      <c r="B79" s="745" t="s">
        <v>313</v>
      </c>
      <c r="C79" s="746"/>
      <c r="D79" s="746"/>
      <c r="E79" s="746"/>
      <c r="F79" s="746"/>
      <c r="G79" s="746"/>
      <c r="H79" s="746"/>
      <c r="I79" s="614"/>
      <c r="J79" s="546"/>
      <c r="K79" s="546"/>
      <c r="L79" s="546"/>
      <c r="M79" s="546"/>
      <c r="N79" s="546"/>
      <c r="O79" s="546"/>
      <c r="P79" s="546"/>
      <c r="Q79" s="546"/>
      <c r="R79" s="546"/>
      <c r="S79" s="546"/>
      <c r="T79" s="546"/>
      <c r="U79" s="562"/>
      <c r="W79" s="196"/>
    </row>
    <row r="80" spans="1:23">
      <c r="A80" s="182"/>
      <c r="B80" s="615" t="s">
        <v>314</v>
      </c>
      <c r="C80" s="576" t="s">
        <v>302</v>
      </c>
      <c r="D80" s="616" t="s">
        <v>315</v>
      </c>
      <c r="E80" s="554"/>
      <c r="F80" s="576" t="s">
        <v>154</v>
      </c>
      <c r="G80" s="576" t="s">
        <v>138</v>
      </c>
      <c r="H80" s="576" t="s">
        <v>151</v>
      </c>
      <c r="I80" s="614"/>
      <c r="J80" s="546"/>
      <c r="K80" s="617"/>
      <c r="L80" s="546"/>
      <c r="M80" s="546"/>
      <c r="N80" s="546"/>
      <c r="O80" s="546"/>
      <c r="P80" s="546"/>
      <c r="Q80" s="546"/>
      <c r="R80" s="546"/>
      <c r="S80" s="546"/>
      <c r="T80" s="546"/>
      <c r="U80" s="562"/>
      <c r="W80" s="196"/>
    </row>
    <row r="81" spans="1:23">
      <c r="A81" s="182"/>
      <c r="B81" s="727" t="s">
        <v>391</v>
      </c>
      <c r="C81" s="728" t="s">
        <v>173</v>
      </c>
      <c r="D81" s="729">
        <f>'Comparable Valuation'!D14</f>
        <v>6.2180566034610001</v>
      </c>
      <c r="E81" s="554"/>
      <c r="F81" s="730">
        <f>'Comparable Valuation'!D20</f>
        <v>15.101754010892691</v>
      </c>
      <c r="G81" s="730">
        <f>'Comparable Valuation'!D21</f>
        <v>1.5774926868729078</v>
      </c>
      <c r="H81" s="730">
        <f>'Comparable Valuation'!D22</f>
        <v>8.2967947010875047</v>
      </c>
      <c r="I81" s="614"/>
      <c r="J81" s="546"/>
      <c r="K81" s="617"/>
      <c r="L81" s="546"/>
      <c r="M81" s="546"/>
      <c r="N81" s="546"/>
      <c r="O81" s="546"/>
      <c r="P81" s="546"/>
      <c r="Q81" s="546"/>
      <c r="R81" s="546"/>
      <c r="S81" s="546"/>
      <c r="T81" s="546"/>
      <c r="U81" s="562"/>
      <c r="W81" s="196"/>
    </row>
    <row r="82" spans="1:23">
      <c r="A82" s="182"/>
      <c r="B82" s="591" t="s">
        <v>231</v>
      </c>
      <c r="C82" s="617" t="s">
        <v>232</v>
      </c>
      <c r="D82" s="731">
        <f>'Comparable Valuation'!F14</f>
        <v>40.751121600000005</v>
      </c>
      <c r="E82" s="554"/>
      <c r="F82" s="732">
        <f>'Comparable Valuation'!F20</f>
        <v>27.402985074626866</v>
      </c>
      <c r="G82" s="732">
        <f>'Comparable Valuation'!F21</f>
        <v>3.8776743614604072</v>
      </c>
      <c r="H82" s="733">
        <f>'Comparable Valuation'!F22</f>
        <v>33.279609225629009</v>
      </c>
      <c r="I82" s="614"/>
      <c r="J82" s="546"/>
      <c r="K82" s="546"/>
      <c r="L82" s="546"/>
      <c r="M82" s="546"/>
      <c r="N82" s="546"/>
      <c r="O82" s="546"/>
      <c r="P82" s="546"/>
      <c r="Q82" s="546"/>
      <c r="R82" s="546"/>
      <c r="S82" s="546"/>
      <c r="T82" s="546"/>
      <c r="U82" s="562"/>
      <c r="W82" s="196"/>
    </row>
    <row r="83" spans="1:23">
      <c r="A83" s="725"/>
      <c r="B83" s="734" t="s">
        <v>392</v>
      </c>
      <c r="C83" s="617" t="s">
        <v>234</v>
      </c>
      <c r="D83" s="735">
        <f>'Comparable Valuation'!G14</f>
        <v>66.035835000000006</v>
      </c>
      <c r="E83" s="554"/>
      <c r="F83" s="732">
        <f>'Comparable Valuation'!G20</f>
        <v>28.809963099630998</v>
      </c>
      <c r="G83" s="732">
        <f>'Comparable Valuation'!G21</f>
        <v>4.0952804853284599</v>
      </c>
      <c r="H83" s="736">
        <f>'Comparable Valuation'!G22</f>
        <v>15.123516122984627</v>
      </c>
      <c r="I83" s="614"/>
      <c r="J83" s="546"/>
      <c r="K83" s="546"/>
      <c r="L83" s="546"/>
      <c r="M83" s="546"/>
      <c r="N83" s="546"/>
      <c r="O83" s="546"/>
      <c r="P83" s="546"/>
      <c r="Q83" s="546"/>
      <c r="R83" s="546"/>
      <c r="S83" s="546"/>
      <c r="T83" s="546"/>
      <c r="U83" s="562"/>
      <c r="W83" s="196"/>
    </row>
    <row r="84" spans="1:23">
      <c r="A84" s="725"/>
      <c r="B84" s="737" t="s">
        <v>418</v>
      </c>
      <c r="C84" s="617" t="s">
        <v>419</v>
      </c>
      <c r="D84" s="735">
        <f>'Comparable Valuation'!H14</f>
        <v>0.76003199999999993</v>
      </c>
      <c r="E84" s="554"/>
      <c r="F84" s="732">
        <f>'Comparable Valuation'!H20</f>
        <v>9.0726256983240212</v>
      </c>
      <c r="G84" s="732">
        <f>'Comparable Valuation'!H21</f>
        <v>1.1663976338268027</v>
      </c>
      <c r="H84" s="736">
        <f>'Comparable Valuation'!H22</f>
        <v>5.3680187895774933</v>
      </c>
      <c r="I84" s="614"/>
      <c r="J84" s="546"/>
      <c r="K84" s="546"/>
      <c r="L84" s="546"/>
      <c r="M84" s="546"/>
      <c r="N84" s="546"/>
      <c r="O84" s="546"/>
      <c r="P84" s="546"/>
      <c r="Q84" s="546"/>
      <c r="R84" s="546"/>
      <c r="S84" s="546"/>
      <c r="T84" s="546"/>
      <c r="U84" s="562"/>
      <c r="W84" s="196"/>
    </row>
    <row r="85" spans="1:23">
      <c r="A85" s="725"/>
      <c r="B85" s="738" t="s">
        <v>416</v>
      </c>
      <c r="C85" s="617" t="s">
        <v>417</v>
      </c>
      <c r="D85" s="735">
        <f>'Comparable Valuation'!I14</f>
        <v>18.406808000000002</v>
      </c>
      <c r="E85" s="554"/>
      <c r="F85" s="732">
        <f>'Comparable Valuation'!I20</f>
        <v>12.88</v>
      </c>
      <c r="G85" s="732">
        <f>'Comparable Valuation'!I21</f>
        <v>0.64609803359193008</v>
      </c>
      <c r="H85" s="736">
        <f>'Comparable Valuation'!I22</f>
        <v>11.244717341017004</v>
      </c>
      <c r="I85" s="614"/>
      <c r="J85" s="546"/>
      <c r="K85" s="546"/>
      <c r="L85" s="546"/>
      <c r="M85" s="546"/>
      <c r="N85" s="546"/>
      <c r="O85" s="546"/>
      <c r="P85" s="546"/>
      <c r="Q85" s="546"/>
      <c r="R85" s="546"/>
      <c r="S85" s="546"/>
      <c r="T85" s="546"/>
      <c r="U85" s="562"/>
      <c r="W85" s="196"/>
    </row>
    <row r="86" spans="1:23" ht="17.25" thickBot="1">
      <c r="A86" s="182"/>
      <c r="B86" s="739" t="s">
        <v>393</v>
      </c>
      <c r="C86" s="740" t="s">
        <v>356</v>
      </c>
      <c r="D86" s="741">
        <f>'Comparable Valuation'!J14</f>
        <v>36.891835829999998</v>
      </c>
      <c r="E86" s="742"/>
      <c r="F86" s="743">
        <f>'Comparable Valuation'!J20</f>
        <v>44.126543209876537</v>
      </c>
      <c r="G86" s="743">
        <f>'Comparable Valuation'!J21</f>
        <v>6.0886851545489167</v>
      </c>
      <c r="H86" s="744">
        <f>'Comparable Valuation'!J22</f>
        <v>20.232995230051412</v>
      </c>
      <c r="I86" s="618"/>
      <c r="J86" s="619"/>
      <c r="K86" s="619"/>
      <c r="L86" s="619"/>
      <c r="M86" s="619"/>
      <c r="N86" s="619"/>
      <c r="O86" s="619"/>
      <c r="P86" s="619"/>
      <c r="Q86" s="619"/>
      <c r="R86" s="619"/>
      <c r="S86" s="619"/>
      <c r="T86" s="619"/>
      <c r="U86" s="620"/>
      <c r="W86" s="196"/>
    </row>
    <row r="87" spans="1:23">
      <c r="A87" s="197"/>
      <c r="I87" s="187"/>
      <c r="J87" s="546"/>
      <c r="K87" s="546"/>
      <c r="L87" s="546"/>
      <c r="M87" s="546"/>
      <c r="N87" s="546"/>
      <c r="O87" s="546"/>
      <c r="P87" s="546"/>
      <c r="Q87" s="546"/>
      <c r="R87" s="546"/>
      <c r="S87" s="546"/>
      <c r="T87" s="546"/>
      <c r="U87" s="546"/>
      <c r="W87" s="196"/>
    </row>
    <row r="88" spans="1:23">
      <c r="W88" s="196"/>
    </row>
    <row r="89" spans="1:23">
      <c r="W89" s="196"/>
    </row>
    <row r="90" spans="1:23">
      <c r="W90" s="196"/>
    </row>
    <row r="91" spans="1:23">
      <c r="W91" s="196"/>
    </row>
    <row r="92" spans="1:23">
      <c r="W92" s="196"/>
    </row>
    <row r="93" spans="1:23">
      <c r="W93" s="196"/>
    </row>
    <row r="94" spans="1:23">
      <c r="W94" s="196"/>
    </row>
    <row r="95" spans="1:23">
      <c r="W95" s="196"/>
    </row>
    <row r="96" spans="1:23">
      <c r="W96" s="196"/>
    </row>
    <row r="97" spans="23:23">
      <c r="W97" s="196"/>
    </row>
    <row r="98" spans="23:23">
      <c r="W98" s="196"/>
    </row>
    <row r="99" spans="23:23">
      <c r="W99" s="196"/>
    </row>
    <row r="100" spans="23:23">
      <c r="W100" s="196"/>
    </row>
    <row r="101" spans="23:23">
      <c r="W101" s="196"/>
    </row>
    <row r="102" spans="23:23">
      <c r="W102" s="196"/>
    </row>
    <row r="103" spans="23:23">
      <c r="W103" s="196"/>
    </row>
    <row r="104" spans="23:23">
      <c r="W104" s="196"/>
    </row>
  </sheetData>
  <mergeCells count="13">
    <mergeCell ref="J69:U69"/>
    <mergeCell ref="B74:H74"/>
    <mergeCell ref="J9:U9"/>
    <mergeCell ref="B16:H16"/>
    <mergeCell ref="J16:U16"/>
    <mergeCell ref="B27:H27"/>
    <mergeCell ref="J27:U27"/>
    <mergeCell ref="J34:U34"/>
    <mergeCell ref="B79:H79"/>
    <mergeCell ref="B34:H34"/>
    <mergeCell ref="B50:H50"/>
    <mergeCell ref="B62:H62"/>
    <mergeCell ref="B69:H6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A29E-412B-485E-9044-E0547B7353DB}">
  <dimension ref="A1:BO155"/>
  <sheetViews>
    <sheetView showGridLines="0" zoomScale="85" zoomScaleNormal="85" workbookViewId="0">
      <pane xSplit="1" ySplit="2" topLeftCell="AE4" activePane="bottomRight" state="frozen"/>
      <selection pane="topRight" activeCell="B1" sqref="B1"/>
      <selection pane="bottomLeft" activeCell="A2" sqref="A2"/>
      <selection pane="bottomRight" activeCell="AL1" sqref="AL1"/>
    </sheetView>
  </sheetViews>
  <sheetFormatPr defaultRowHeight="16.5"/>
  <cols>
    <col min="1" max="1" width="88.42578125" style="1" bestFit="1" customWidth="1"/>
    <col min="2" max="2" width="1.28515625" customWidth="1"/>
    <col min="3" max="3" width="13.7109375" style="1" bestFit="1" customWidth="1"/>
    <col min="4" max="4" width="12" style="1" customWidth="1"/>
    <col min="5" max="5" width="12.28515625" style="1" customWidth="1"/>
    <col min="6" max="6" width="11.5703125" style="1" bestFit="1" customWidth="1"/>
    <col min="7" max="7" width="15.42578125" style="1" bestFit="1" customWidth="1"/>
    <col min="8" max="8" width="3.7109375" customWidth="1"/>
    <col min="9" max="9" width="12.42578125" style="1" customWidth="1"/>
    <col min="10" max="10" width="12" style="1" customWidth="1"/>
    <col min="11" max="11" width="13.5703125" style="1" bestFit="1" customWidth="1"/>
    <col min="12" max="12" width="11.5703125" style="1" bestFit="1" customWidth="1"/>
    <col min="13" max="13" width="15.42578125" style="1" bestFit="1" customWidth="1"/>
    <col min="14" max="14" width="3.7109375" customWidth="1"/>
    <col min="15" max="15" width="12.42578125" style="1" customWidth="1"/>
    <col min="16" max="16" width="12" style="1" customWidth="1"/>
    <col min="17" max="17" width="12.28515625" style="1" customWidth="1"/>
    <col min="18" max="18" width="11.5703125" style="1" bestFit="1" customWidth="1"/>
    <col min="19" max="19" width="15.42578125" style="1" bestFit="1" customWidth="1"/>
    <col min="20" max="20" width="3.7109375" customWidth="1"/>
    <col min="21" max="21" width="12.5703125" style="1" bestFit="1" customWidth="1"/>
    <col min="22" max="22" width="12.140625" style="1" bestFit="1" customWidth="1"/>
    <col min="23" max="23" width="12.42578125" style="1" bestFit="1" customWidth="1"/>
    <col min="24" max="24" width="11.5703125" style="1" bestFit="1" customWidth="1"/>
    <col min="25" max="25" width="12.42578125" style="1" bestFit="1" customWidth="1"/>
    <col min="26" max="26" width="3.7109375" customWidth="1"/>
    <col min="27" max="27" width="12.5703125" style="1" bestFit="1" customWidth="1"/>
    <col min="28" max="28" width="12.140625" style="1" bestFit="1" customWidth="1"/>
    <col min="29" max="31" width="12.42578125" style="1" bestFit="1" customWidth="1"/>
    <col min="32" max="32" width="3.7109375" customWidth="1"/>
    <col min="33" max="33" width="12.5703125" style="1" bestFit="1" customWidth="1"/>
    <col min="34" max="34" width="12.140625" style="1" bestFit="1" customWidth="1"/>
    <col min="35" max="36" width="12.42578125" style="1" bestFit="1" customWidth="1"/>
    <col min="37" max="37" width="15.42578125" style="1" bestFit="1" customWidth="1"/>
    <col min="38" max="38" width="3.7109375" customWidth="1"/>
    <col min="39" max="39" width="14" style="1" bestFit="1" customWidth="1"/>
    <col min="40" max="40" width="13.7109375" style="1" bestFit="1" customWidth="1"/>
    <col min="41" max="42" width="14" style="1" bestFit="1" customWidth="1"/>
    <col min="43" max="43" width="14" style="18" bestFit="1" customWidth="1"/>
    <col min="44" max="44" width="3.5703125" customWidth="1"/>
    <col min="45" max="45" width="13.5703125" style="1" bestFit="1" customWidth="1"/>
    <col min="46" max="46" width="12.7109375" style="1" bestFit="1" customWidth="1"/>
    <col min="47" max="48" width="14" style="1" bestFit="1" customWidth="1"/>
    <col min="49" max="49" width="14" style="18" bestFit="1" customWidth="1"/>
    <col min="50" max="50" width="3.7109375" customWidth="1"/>
    <col min="51" max="51" width="14.7109375" style="1" bestFit="1" customWidth="1"/>
    <col min="52" max="52" width="12.7109375" style="1" bestFit="1" customWidth="1"/>
    <col min="53" max="54" width="14" style="1" bestFit="1" customWidth="1"/>
    <col min="55" max="55" width="14" style="18" bestFit="1" customWidth="1"/>
    <col min="56" max="56" width="3.7109375" customWidth="1"/>
    <col min="57" max="57" width="13.5703125" style="1" bestFit="1" customWidth="1"/>
    <col min="58" max="58" width="14.7109375" style="1" bestFit="1" customWidth="1"/>
    <col min="59" max="60" width="14" style="1" bestFit="1" customWidth="1"/>
    <col min="61" max="61" width="14" style="18" bestFit="1" customWidth="1"/>
    <col min="62" max="62" width="3.7109375" customWidth="1"/>
    <col min="63" max="63" width="14.140625" style="1" customWidth="1"/>
    <col min="64" max="64" width="14.7109375" style="1" bestFit="1" customWidth="1"/>
    <col min="65" max="66" width="14" style="1" bestFit="1" customWidth="1"/>
    <col min="67" max="67" width="15.140625" style="18" customWidth="1"/>
  </cols>
  <sheetData>
    <row r="1" spans="1:67" s="1" customFormat="1" ht="20.25">
      <c r="B1"/>
      <c r="C1" s="753">
        <v>2017</v>
      </c>
      <c r="D1" s="753"/>
      <c r="E1" s="753"/>
      <c r="F1" s="753"/>
      <c r="G1" s="753"/>
      <c r="H1"/>
      <c r="I1" s="753">
        <v>2018</v>
      </c>
      <c r="J1" s="753"/>
      <c r="K1" s="753"/>
      <c r="L1" s="753"/>
      <c r="M1" s="753"/>
      <c r="N1"/>
      <c r="O1" s="754">
        <v>2019</v>
      </c>
      <c r="P1" s="754"/>
      <c r="Q1" s="754"/>
      <c r="R1" s="754"/>
      <c r="S1" s="754"/>
      <c r="T1"/>
      <c r="U1" s="753">
        <v>2020</v>
      </c>
      <c r="V1" s="753"/>
      <c r="W1" s="753"/>
      <c r="X1" s="753"/>
      <c r="Y1" s="753"/>
      <c r="Z1"/>
      <c r="AA1" s="753">
        <v>2021</v>
      </c>
      <c r="AB1" s="753"/>
      <c r="AC1" s="753"/>
      <c r="AD1" s="753"/>
      <c r="AE1" s="753"/>
      <c r="AF1"/>
      <c r="AG1" s="753">
        <v>2022</v>
      </c>
      <c r="AH1" s="753"/>
      <c r="AI1" s="753"/>
      <c r="AJ1" s="753"/>
      <c r="AK1" s="753"/>
      <c r="AL1" s="504"/>
      <c r="AM1" s="753" t="s">
        <v>370</v>
      </c>
      <c r="AN1" s="753"/>
      <c r="AO1" s="753"/>
      <c r="AP1" s="753"/>
      <c r="AQ1" s="753"/>
      <c r="AR1"/>
      <c r="AS1" s="753">
        <v>2024</v>
      </c>
      <c r="AT1" s="753"/>
      <c r="AU1" s="753"/>
      <c r="AV1" s="753"/>
      <c r="AW1" s="753"/>
      <c r="AX1"/>
      <c r="AY1" s="753" t="s">
        <v>377</v>
      </c>
      <c r="AZ1" s="753"/>
      <c r="BA1" s="753"/>
      <c r="BB1" s="753"/>
      <c r="BC1" s="753"/>
      <c r="BD1"/>
      <c r="BE1" s="753">
        <v>2026</v>
      </c>
      <c r="BF1" s="753"/>
      <c r="BG1" s="753"/>
      <c r="BH1" s="753"/>
      <c r="BI1" s="753"/>
      <c r="BJ1"/>
      <c r="BK1" s="753">
        <v>2027</v>
      </c>
      <c r="BL1" s="753"/>
      <c r="BM1" s="753"/>
      <c r="BN1" s="753"/>
      <c r="BO1" s="753"/>
    </row>
    <row r="2" spans="1:67" s="63" customFormat="1" ht="17.25" thickBot="1">
      <c r="A2" s="344" t="s">
        <v>40</v>
      </c>
      <c r="B2"/>
      <c r="C2" s="341" t="s">
        <v>364</v>
      </c>
      <c r="D2" s="341" t="s">
        <v>365</v>
      </c>
      <c r="E2" s="341" t="s">
        <v>366</v>
      </c>
      <c r="F2" s="341" t="s">
        <v>367</v>
      </c>
      <c r="G2" s="341" t="s">
        <v>301</v>
      </c>
      <c r="H2" s="342"/>
      <c r="I2" s="341" t="s">
        <v>364</v>
      </c>
      <c r="J2" s="341" t="s">
        <v>365</v>
      </c>
      <c r="K2" s="341" t="s">
        <v>366</v>
      </c>
      <c r="L2" s="341" t="s">
        <v>367</v>
      </c>
      <c r="M2" s="341" t="s">
        <v>301</v>
      </c>
      <c r="N2" s="343"/>
      <c r="O2" s="341" t="s">
        <v>364</v>
      </c>
      <c r="P2" s="341" t="s">
        <v>365</v>
      </c>
      <c r="Q2" s="341" t="s">
        <v>366</v>
      </c>
      <c r="R2" s="341" t="s">
        <v>367</v>
      </c>
      <c r="S2" s="341" t="s">
        <v>301</v>
      </c>
      <c r="T2" s="343"/>
      <c r="U2" s="341" t="s">
        <v>364</v>
      </c>
      <c r="V2" s="341" t="s">
        <v>365</v>
      </c>
      <c r="W2" s="341" t="s">
        <v>366</v>
      </c>
      <c r="X2" s="341" t="s">
        <v>367</v>
      </c>
      <c r="Y2" s="341" t="s">
        <v>301</v>
      </c>
      <c r="Z2" s="343"/>
      <c r="AA2" s="341" t="s">
        <v>364</v>
      </c>
      <c r="AB2" s="341" t="s">
        <v>365</v>
      </c>
      <c r="AC2" s="341" t="s">
        <v>366</v>
      </c>
      <c r="AD2" s="341" t="s">
        <v>367</v>
      </c>
      <c r="AE2" s="341" t="s">
        <v>368</v>
      </c>
      <c r="AF2" s="343"/>
      <c r="AG2" s="341" t="s">
        <v>364</v>
      </c>
      <c r="AH2" s="341" t="s">
        <v>365</v>
      </c>
      <c r="AI2" s="341" t="s">
        <v>366</v>
      </c>
      <c r="AJ2" s="341" t="s">
        <v>367</v>
      </c>
      <c r="AK2" s="341" t="s">
        <v>301</v>
      </c>
      <c r="AL2" s="505"/>
      <c r="AM2" s="341" t="s">
        <v>369</v>
      </c>
      <c r="AN2" s="341" t="s">
        <v>371</v>
      </c>
      <c r="AO2" s="341" t="s">
        <v>372</v>
      </c>
      <c r="AP2" s="341" t="s">
        <v>367</v>
      </c>
      <c r="AQ2" s="341" t="s">
        <v>373</v>
      </c>
      <c r="AR2" s="343"/>
      <c r="AS2" s="341" t="s">
        <v>369</v>
      </c>
      <c r="AT2" s="341" t="s">
        <v>375</v>
      </c>
      <c r="AU2" s="341" t="s">
        <v>376</v>
      </c>
      <c r="AV2" s="341" t="s">
        <v>374</v>
      </c>
      <c r="AW2" s="341" t="s">
        <v>301</v>
      </c>
      <c r="AX2" s="343"/>
      <c r="AY2" s="341" t="s">
        <v>369</v>
      </c>
      <c r="AZ2" s="341" t="s">
        <v>375</v>
      </c>
      <c r="BA2" s="341" t="s">
        <v>376</v>
      </c>
      <c r="BB2" s="341" t="s">
        <v>374</v>
      </c>
      <c r="BC2" s="341" t="s">
        <v>301</v>
      </c>
      <c r="BD2" s="343"/>
      <c r="BE2" s="341" t="s">
        <v>369</v>
      </c>
      <c r="BF2" s="341" t="s">
        <v>365</v>
      </c>
      <c r="BG2" s="341" t="s">
        <v>366</v>
      </c>
      <c r="BH2" s="341" t="s">
        <v>367</v>
      </c>
      <c r="BI2" s="341" t="s">
        <v>378</v>
      </c>
      <c r="BJ2" s="343"/>
      <c r="BK2" s="341" t="s">
        <v>364</v>
      </c>
      <c r="BL2" s="341" t="s">
        <v>375</v>
      </c>
      <c r="BM2" s="341" t="s">
        <v>379</v>
      </c>
      <c r="BN2" s="341" t="s">
        <v>374</v>
      </c>
      <c r="BO2" s="341" t="s">
        <v>378</v>
      </c>
    </row>
    <row r="3" spans="1:67" s="1" customFormat="1" ht="16.5" hidden="1" customHeight="1" thickBot="1">
      <c r="B3"/>
      <c r="C3" s="2" t="s">
        <v>0</v>
      </c>
      <c r="D3" s="2" t="s">
        <v>10</v>
      </c>
      <c r="E3" s="2" t="s">
        <v>15</v>
      </c>
      <c r="G3" s="2" t="s">
        <v>17</v>
      </c>
      <c r="H3"/>
      <c r="I3" s="2" t="s">
        <v>18</v>
      </c>
      <c r="J3" s="2" t="s">
        <v>19</v>
      </c>
      <c r="K3" s="2" t="s">
        <v>20</v>
      </c>
      <c r="M3" s="2" t="s">
        <v>21</v>
      </c>
      <c r="N3"/>
      <c r="O3" s="2" t="s">
        <v>22</v>
      </c>
      <c r="P3" s="2" t="s">
        <v>23</v>
      </c>
      <c r="Q3" s="2" t="s">
        <v>24</v>
      </c>
      <c r="S3" s="2" t="s">
        <v>25</v>
      </c>
      <c r="T3"/>
      <c r="U3" s="2" t="s">
        <v>26</v>
      </c>
      <c r="V3" s="2" t="s">
        <v>27</v>
      </c>
      <c r="W3" s="2" t="s">
        <v>28</v>
      </c>
      <c r="Y3" s="2" t="s">
        <v>29</v>
      </c>
      <c r="Z3"/>
      <c r="AA3" s="2" t="s">
        <v>30</v>
      </c>
      <c r="AB3" s="2" t="s">
        <v>31</v>
      </c>
      <c r="AC3" s="2" t="s">
        <v>32</v>
      </c>
      <c r="AE3" s="2" t="s">
        <v>33</v>
      </c>
      <c r="AF3"/>
      <c r="AG3" s="2" t="s">
        <v>34</v>
      </c>
      <c r="AH3" s="2" t="s">
        <v>35</v>
      </c>
      <c r="AI3" s="2" t="s">
        <v>37</v>
      </c>
      <c r="AK3" s="2" t="s">
        <v>38</v>
      </c>
      <c r="AL3" s="504"/>
      <c r="AQ3" s="18"/>
      <c r="AR3"/>
      <c r="AW3" s="18"/>
      <c r="AX3"/>
      <c r="BC3" s="18"/>
      <c r="BD3"/>
      <c r="BI3" s="18"/>
      <c r="BJ3"/>
      <c r="BO3" s="18"/>
    </row>
    <row r="4" spans="1:67" ht="17.25" thickBot="1">
      <c r="A4" s="320" t="s">
        <v>104</v>
      </c>
      <c r="C4" s="346"/>
      <c r="D4" s="321"/>
      <c r="E4" s="321"/>
      <c r="F4" s="322"/>
      <c r="G4" s="323"/>
      <c r="I4" s="361"/>
      <c r="J4" s="362"/>
      <c r="K4" s="362"/>
      <c r="L4" s="363"/>
      <c r="M4" s="364"/>
      <c r="O4" s="361"/>
      <c r="P4" s="362"/>
      <c r="Q4" s="362"/>
      <c r="R4" s="363"/>
      <c r="S4" s="364"/>
      <c r="U4" s="361"/>
      <c r="V4" s="362"/>
      <c r="W4" s="362"/>
      <c r="X4" s="363"/>
      <c r="Y4" s="364"/>
      <c r="AA4" s="361"/>
      <c r="AB4" s="362"/>
      <c r="AC4" s="362"/>
      <c r="AD4" s="363"/>
      <c r="AE4" s="364"/>
      <c r="AG4" s="361"/>
      <c r="AH4" s="362"/>
      <c r="AI4" s="362"/>
      <c r="AJ4" s="363"/>
      <c r="AK4" s="364"/>
      <c r="AL4" s="504"/>
      <c r="AM4" s="361"/>
      <c r="AN4" s="362"/>
      <c r="AO4" s="362"/>
      <c r="AP4" s="362"/>
      <c r="AQ4" s="364"/>
      <c r="AS4" s="361"/>
      <c r="AT4" s="362"/>
      <c r="AU4" s="362"/>
      <c r="AV4" s="362"/>
      <c r="AW4" s="364"/>
      <c r="AY4" s="361"/>
      <c r="AZ4" s="362"/>
      <c r="BA4" s="362"/>
      <c r="BB4" s="362"/>
      <c r="BC4" s="364"/>
      <c r="BE4" s="361"/>
      <c r="BF4" s="362"/>
      <c r="BG4" s="362"/>
      <c r="BH4" s="362"/>
      <c r="BI4" s="364"/>
      <c r="BK4" s="361"/>
      <c r="BL4" s="362"/>
      <c r="BM4" s="362"/>
      <c r="BN4" s="362"/>
      <c r="BO4" s="364"/>
    </row>
    <row r="5" spans="1:67" ht="15">
      <c r="A5" s="456" t="s">
        <v>1</v>
      </c>
      <c r="C5" s="347">
        <v>560214</v>
      </c>
      <c r="D5" s="9">
        <v>610940</v>
      </c>
      <c r="E5" s="9">
        <v>612352</v>
      </c>
      <c r="F5" s="27">
        <v>615144</v>
      </c>
      <c r="G5" s="348">
        <v>2398650</v>
      </c>
      <c r="I5" s="347">
        <v>619719</v>
      </c>
      <c r="J5" s="9">
        <v>696779</v>
      </c>
      <c r="K5" s="9">
        <v>685183</v>
      </c>
      <c r="L5" s="27">
        <v>707558</v>
      </c>
      <c r="M5" s="296">
        <v>2709239</v>
      </c>
      <c r="O5" s="347">
        <v>656658</v>
      </c>
      <c r="P5" s="9">
        <v>715085</v>
      </c>
      <c r="Q5" s="9">
        <v>739919</v>
      </c>
      <c r="R5" s="27">
        <f>S5-SUM(O5:Q5)</f>
        <v>731219</v>
      </c>
      <c r="S5" s="296">
        <v>2842881</v>
      </c>
      <c r="U5" s="347">
        <v>719867</v>
      </c>
      <c r="V5" s="9">
        <v>637839</v>
      </c>
      <c r="W5" s="9">
        <v>681306</v>
      </c>
      <c r="X5" s="27">
        <f>Y5-SUM(U5:W5)</f>
        <v>685572</v>
      </c>
      <c r="Y5" s="296">
        <v>2724584</v>
      </c>
      <c r="AA5" s="347">
        <v>662708</v>
      </c>
      <c r="AB5" s="9">
        <v>734563</v>
      </c>
      <c r="AC5" s="9">
        <v>744549</v>
      </c>
      <c r="AD5" s="27">
        <f>AE5-SUM(AA5:AC5)</f>
        <v>906199</v>
      </c>
      <c r="AE5" s="296">
        <v>3048019</v>
      </c>
      <c r="AG5" s="347">
        <v>942061</v>
      </c>
      <c r="AH5" s="9">
        <v>1085043</v>
      </c>
      <c r="AI5" s="9">
        <v>1073810</v>
      </c>
      <c r="AJ5" s="27">
        <f>AK5-SUM(AG5:AI5)</f>
        <v>1032270</v>
      </c>
      <c r="AK5" s="506">
        <v>4133184</v>
      </c>
      <c r="AL5" s="540"/>
      <c r="AM5" s="27">
        <f>AG5*(1+AM6)</f>
        <v>1017425.8800000001</v>
      </c>
      <c r="AN5" s="27">
        <f>AH5*(1+AN6)</f>
        <v>1215248.1600000001</v>
      </c>
      <c r="AO5" s="27">
        <f>AI5*(1+AO6)</f>
        <v>1181191</v>
      </c>
      <c r="AP5" s="27">
        <f>AJ5*(1+AP6)</f>
        <v>1114851.6000000001</v>
      </c>
      <c r="AQ5" s="366">
        <f>SUM(AM5:AP5)</f>
        <v>4528716.6400000006</v>
      </c>
      <c r="AS5" s="365">
        <f>AM5*(1+AS6)</f>
        <v>1133448.6183055234</v>
      </c>
      <c r="AT5" s="27">
        <f>AN5*(1+AT6)</f>
        <v>1378804.8565324072</v>
      </c>
      <c r="AU5" s="27">
        <f>AO5*(1+AU6)</f>
        <v>1329757.5050054181</v>
      </c>
      <c r="AV5" s="27">
        <f>AP5*(1+AV6)</f>
        <v>1237890.544237063</v>
      </c>
      <c r="AW5" s="366">
        <f>SUM(AS5:AV5)</f>
        <v>5079901.5240804125</v>
      </c>
      <c r="AY5" s="365">
        <f>AS5*(1+AY6)</f>
        <v>1276812.7743028973</v>
      </c>
      <c r="AZ5" s="27">
        <f>AT5*(1+AZ6)</f>
        <v>1592611.7284967273</v>
      </c>
      <c r="BA5" s="27">
        <f>AU5*(1+BA6)</f>
        <v>1511034.3983285364</v>
      </c>
      <c r="BB5" s="27">
        <f>AV5*(1+BB6)</f>
        <v>1383682.5497273817</v>
      </c>
      <c r="BC5" s="366">
        <f>SUM(AY5:BB5)</f>
        <v>5764141.450855542</v>
      </c>
      <c r="BE5" s="365">
        <f>AY5*(1+BE6)</f>
        <v>1446028.99589244</v>
      </c>
      <c r="BF5" s="27">
        <f>AZ5*(1+BF6)</f>
        <v>1923373.1001122661</v>
      </c>
      <c r="BG5" s="27">
        <f>BA5*(1+BG6)</f>
        <v>1782160.8284873643</v>
      </c>
      <c r="BH5" s="27">
        <f>BB5*(1+BH6)</f>
        <v>1596513.1863632703</v>
      </c>
      <c r="BI5" s="366">
        <f>SUM(BE5:BH5)</f>
        <v>6748076.110855341</v>
      </c>
      <c r="BK5" s="365">
        <f>BE5*(1+BK6)</f>
        <v>1698963.5358013739</v>
      </c>
      <c r="BL5" s="27">
        <f>BF5*(1+BL6)</f>
        <v>2344386.3856794969</v>
      </c>
      <c r="BM5" s="27">
        <f>BG5*(1+BM6)</f>
        <v>2132804.513231168</v>
      </c>
      <c r="BN5" s="27">
        <f>BH5*(1+BN6)</f>
        <v>1788437.4985338699</v>
      </c>
      <c r="BO5" s="366">
        <f>SUM(BK5:BN5)</f>
        <v>7964591.9332459094</v>
      </c>
    </row>
    <row r="6" spans="1:67" ht="15">
      <c r="A6" s="630" t="s">
        <v>83</v>
      </c>
      <c r="C6" s="349"/>
      <c r="D6" s="330"/>
      <c r="E6" s="330"/>
      <c r="F6" s="350"/>
      <c r="G6" s="297"/>
      <c r="I6" s="349">
        <f>I5/C5-1</f>
        <v>0.10621833799226721</v>
      </c>
      <c r="J6" s="330">
        <f>J5/D5-1</f>
        <v>0.1405031590663568</v>
      </c>
      <c r="K6" s="330">
        <f>K5/E5-1</f>
        <v>0.11893649404264206</v>
      </c>
      <c r="L6" s="330">
        <f>L5/F5-1</f>
        <v>0.15023149051279061</v>
      </c>
      <c r="M6" s="297">
        <f>M5/G5-1</f>
        <v>0.12948491860004596</v>
      </c>
      <c r="O6" s="349">
        <f>O5/I5-1</f>
        <v>5.9606047256901995E-2</v>
      </c>
      <c r="P6" s="330">
        <f>P5/J5-1</f>
        <v>2.6272318769652969E-2</v>
      </c>
      <c r="Q6" s="330">
        <f>Q5/K5-1</f>
        <v>7.9885227742077625E-2</v>
      </c>
      <c r="R6" s="330">
        <f>R5/L5-1</f>
        <v>3.3440368139431742E-2</v>
      </c>
      <c r="S6" s="297">
        <f>S5/M5-1</f>
        <v>4.9328243097046753E-2</v>
      </c>
      <c r="U6" s="349">
        <f>U5/O5-1</f>
        <v>9.6258630824569202E-2</v>
      </c>
      <c r="V6" s="330">
        <f>V5/P5-1</f>
        <v>-0.1080235216792409</v>
      </c>
      <c r="W6" s="330">
        <f>W5/Q5-1</f>
        <v>-7.9215427634646507E-2</v>
      </c>
      <c r="X6" s="330">
        <f>X5/R5-1</f>
        <v>-6.2425894294322215E-2</v>
      </c>
      <c r="Y6" s="297">
        <f>Y5/S5-1</f>
        <v>-4.1611660846866294E-2</v>
      </c>
      <c r="AA6" s="349">
        <f>AA5/U5-1</f>
        <v>-7.9402167344801211E-2</v>
      </c>
      <c r="AB6" s="330">
        <f>AB5/V5-1</f>
        <v>0.15164328302283181</v>
      </c>
      <c r="AC6" s="330">
        <f>AC5/W5-1</f>
        <v>9.2826130989599465E-2</v>
      </c>
      <c r="AD6" s="330">
        <f>AD5/X5-1</f>
        <v>0.32181448483893749</v>
      </c>
      <c r="AE6" s="297">
        <f>AE5/Y5-1</f>
        <v>0.11870986543266793</v>
      </c>
      <c r="AG6" s="349">
        <f>AG5/AA5-1</f>
        <v>0.42153256034331865</v>
      </c>
      <c r="AH6" s="330">
        <f>AH5/AB5-1</f>
        <v>0.47712721713454131</v>
      </c>
      <c r="AI6" s="330">
        <f>AI5/AC5-1</f>
        <v>0.44222878547953193</v>
      </c>
      <c r="AJ6" s="330">
        <f>AJ5/AD5-1</f>
        <v>0.13912065672109541</v>
      </c>
      <c r="AK6" s="507">
        <f>AK5/AE5-1</f>
        <v>0.3560230431634448</v>
      </c>
      <c r="AL6" s="540"/>
      <c r="AM6" s="330">
        <v>0.08</v>
      </c>
      <c r="AN6" s="330">
        <v>0.12</v>
      </c>
      <c r="AO6" s="330">
        <v>0.1</v>
      </c>
      <c r="AP6" s="330">
        <v>0.08</v>
      </c>
      <c r="AQ6" s="300">
        <f>AQ5/AK5-1</f>
        <v>9.5696838079311286E-2</v>
      </c>
      <c r="AS6" s="349">
        <f>AVERAGE(AM6,AG6,U6,AA6,O6,I6)</f>
        <v>0.1140355681787093</v>
      </c>
      <c r="AT6" s="330">
        <f>AVERAGE(AN6,AH6,V6,AB6,P6,J6)</f>
        <v>0.13458707605235701</v>
      </c>
      <c r="AU6" s="330">
        <f>AVERAGE(AO6,AI6,W6,AC6,Q6,K6)</f>
        <v>0.1257768684365341</v>
      </c>
      <c r="AV6" s="330">
        <f>AVERAGE(AP6,AJ6,X6,AD6,R6,L6)</f>
        <v>0.11036351765298884</v>
      </c>
      <c r="AW6" s="300">
        <f>AW5/AQ5-1</f>
        <v>0.12170884775877955</v>
      </c>
      <c r="AY6" s="349">
        <f>AVERAGE(AS6,AM6,AA6,U6,AG6)</f>
        <v>0.12648491840035919</v>
      </c>
      <c r="AZ6" s="330">
        <f>AVERAGE(AT6,AN6,AB6,V6,AH6)</f>
        <v>0.15506681090609784</v>
      </c>
      <c r="BA6" s="330">
        <f>AVERAGE(AU6,AO6,AC6,W6,AI6)</f>
        <v>0.13632327145420381</v>
      </c>
      <c r="BB6" s="330">
        <f>AVERAGE(AV6,AP6,AD6,X6,AJ6)</f>
        <v>0.11777455298373991</v>
      </c>
      <c r="BC6" s="300">
        <f>BC5/AW5-1</f>
        <v>0.13469551004711522</v>
      </c>
      <c r="BE6" s="349">
        <f>AVERAGE(AY6,AS6,AM6,AG6,AA6)</f>
        <v>0.13253017591551719</v>
      </c>
      <c r="BF6" s="330">
        <f>AVERAGE(AZ6,AT6,AN6,AH6,AB6)</f>
        <v>0.20768487742316558</v>
      </c>
      <c r="BG6" s="330">
        <f>AVERAGE(BA6,AU6,AO6,AI6,AC6)</f>
        <v>0.17943101127197386</v>
      </c>
      <c r="BH6" s="330">
        <f>AVERAGE(BB6,AV6,AP6,AJ6,AD6)</f>
        <v>0.15381464243935233</v>
      </c>
      <c r="BI6" s="300">
        <f>BI5/BC5-1</f>
        <v>0.17069925649617068</v>
      </c>
      <c r="BK6" s="349">
        <f>AVERAGE(BE6,AY6,AS6,AM6,AG6)</f>
        <v>0.17491664456758088</v>
      </c>
      <c r="BL6" s="330">
        <f>AVERAGE(BF6,AZ6,AT6,AN6,AH6)</f>
        <v>0.21889319630323234</v>
      </c>
      <c r="BM6" s="330">
        <f>AVERAGE(BG6,BA6,AU6,AO6,AI6)</f>
        <v>0.19675198732844873</v>
      </c>
      <c r="BN6" s="330">
        <f>AVERAGE(BH6,BB6,AV6,AP6,AJ6)</f>
        <v>0.1202146739594353</v>
      </c>
      <c r="BO6" s="300">
        <f>BO5/BI5-1</f>
        <v>0.18027594864165963</v>
      </c>
    </row>
    <row r="7" spans="1:67" ht="15">
      <c r="A7" s="630" t="s">
        <v>82</v>
      </c>
      <c r="C7" s="349">
        <f t="shared" ref="C7:AN7" si="0">C5/C$23</f>
        <v>0.81315235992632173</v>
      </c>
      <c r="D7" s="330">
        <f t="shared" si="0"/>
        <v>0.8115697912294032</v>
      </c>
      <c r="E7" s="330">
        <f t="shared" si="0"/>
        <v>0.81015444945134329</v>
      </c>
      <c r="F7" s="330">
        <f t="shared" si="0"/>
        <v>0.82304191982103359</v>
      </c>
      <c r="G7" s="297">
        <f t="shared" si="0"/>
        <v>0.81448825763723876</v>
      </c>
      <c r="I7" s="349">
        <f t="shared" si="0"/>
        <v>0.82653665484983552</v>
      </c>
      <c r="J7" s="330">
        <f t="shared" si="0"/>
        <v>0.82057022399133239</v>
      </c>
      <c r="K7" s="330">
        <f t="shared" si="0"/>
        <v>0.8126167453963028</v>
      </c>
      <c r="L7" s="330">
        <f t="shared" si="0"/>
        <v>0.82446364733792898</v>
      </c>
      <c r="M7" s="297">
        <f t="shared" si="0"/>
        <v>0.82090614104220128</v>
      </c>
      <c r="O7" s="349">
        <f t="shared" si="0"/>
        <v>0.84096465468553694</v>
      </c>
      <c r="P7" s="330">
        <f t="shared" si="0"/>
        <v>0.82318764835761926</v>
      </c>
      <c r="Q7" s="330">
        <f t="shared" si="0"/>
        <v>0.82981446009052695</v>
      </c>
      <c r="R7" s="330">
        <f t="shared" si="0"/>
        <v>0.83951182829030835</v>
      </c>
      <c r="S7" s="297">
        <f t="shared" si="0"/>
        <v>0.83315436713664837</v>
      </c>
      <c r="U7" s="349">
        <f t="shared" si="0"/>
        <v>0.83845565206047779</v>
      </c>
      <c r="V7" s="330">
        <f t="shared" si="0"/>
        <v>0.89836478873239434</v>
      </c>
      <c r="W7" s="330">
        <f t="shared" si="0"/>
        <v>0.87420445913486211</v>
      </c>
      <c r="X7" s="330">
        <f t="shared" si="0"/>
        <v>0.86106582599630743</v>
      </c>
      <c r="Y7" s="297">
        <f t="shared" si="0"/>
        <v>0.86657122855942426</v>
      </c>
      <c r="AA7" s="349">
        <f t="shared" si="0"/>
        <v>0.82003296425902183</v>
      </c>
      <c r="AB7" s="330">
        <f t="shared" si="0"/>
        <v>0.79287242379039313</v>
      </c>
      <c r="AC7" s="330">
        <f t="shared" si="0"/>
        <v>0.7825175332298453</v>
      </c>
      <c r="AD7" s="330">
        <f t="shared" si="0"/>
        <v>0.80948135787923159</v>
      </c>
      <c r="AE7" s="297">
        <f>AE5/AE$23</f>
        <v>0.80093710107773719</v>
      </c>
      <c r="AG7" s="349">
        <f t="shared" si="0"/>
        <v>0.80579398499198962</v>
      </c>
      <c r="AH7" s="330">
        <f t="shared" si="0"/>
        <v>0.79999513386300503</v>
      </c>
      <c r="AI7" s="330">
        <f t="shared" si="0"/>
        <v>0.78777861411532357</v>
      </c>
      <c r="AJ7" s="330">
        <f t="shared" si="0"/>
        <v>0.80766107137324372</v>
      </c>
      <c r="AK7" s="507">
        <f t="shared" si="0"/>
        <v>0.79998064493027821</v>
      </c>
      <c r="AL7" s="540"/>
      <c r="AM7" s="330">
        <f t="shared" si="0"/>
        <v>0.811631903422249</v>
      </c>
      <c r="AN7" s="330">
        <f t="shared" si="0"/>
        <v>0.80575063557759408</v>
      </c>
      <c r="AO7" s="330">
        <f t="shared" ref="AO7:BO7" si="1">AO5/AO$23</f>
        <v>0.79390529344756444</v>
      </c>
      <c r="AP7" s="330">
        <f t="shared" si="1"/>
        <v>0.81345585760050443</v>
      </c>
      <c r="AQ7" s="297">
        <f t="shared" si="1"/>
        <v>0.80580558522658008</v>
      </c>
      <c r="AS7" s="349">
        <f t="shared" si="1"/>
        <v>0.81054552625582321</v>
      </c>
      <c r="AT7" s="330">
        <f t="shared" si="1"/>
        <v>0.82343728763121027</v>
      </c>
      <c r="AU7" s="330">
        <f t="shared" si="1"/>
        <v>0.80760672199553551</v>
      </c>
      <c r="AV7" s="330">
        <f t="shared" si="1"/>
        <v>0.80630392589820632</v>
      </c>
      <c r="AW7" s="297">
        <f t="shared" si="1"/>
        <v>0.81218203612176665</v>
      </c>
      <c r="AY7" s="349">
        <f t="shared" si="1"/>
        <v>0.80863070478235088</v>
      </c>
      <c r="AZ7" s="330">
        <f t="shared" si="1"/>
        <v>0.84394031215058307</v>
      </c>
      <c r="BA7" s="330">
        <f t="shared" si="1"/>
        <v>0.823901821991462</v>
      </c>
      <c r="BB7" s="330">
        <f t="shared" si="1"/>
        <v>0.79945902807076674</v>
      </c>
      <c r="BC7" s="297">
        <f t="shared" si="1"/>
        <v>0.81983364226114319</v>
      </c>
      <c r="BE7" s="349">
        <f t="shared" si="1"/>
        <v>0.8033374301187729</v>
      </c>
      <c r="BF7" s="330">
        <f t="shared" si="1"/>
        <v>0.8679352544629434</v>
      </c>
      <c r="BG7" s="330">
        <f t="shared" si="1"/>
        <v>0.84253348498741787</v>
      </c>
      <c r="BH7" s="330">
        <f t="shared" si="1"/>
        <v>0.79212805320282831</v>
      </c>
      <c r="BI7" s="297">
        <f t="shared" si="1"/>
        <v>0.82831268832210314</v>
      </c>
      <c r="BK7" s="349">
        <f t="shared" si="1"/>
        <v>0.79904201682913711</v>
      </c>
      <c r="BL7" s="330">
        <f t="shared" si="1"/>
        <v>0.87940385859890213</v>
      </c>
      <c r="BM7" s="330">
        <f t="shared" si="1"/>
        <v>0.85244609954034745</v>
      </c>
      <c r="BN7" s="330">
        <f t="shared" si="1"/>
        <v>0.78835584068009446</v>
      </c>
      <c r="BO7" s="297">
        <f t="shared" si="1"/>
        <v>0.83288283111568528</v>
      </c>
    </row>
    <row r="8" spans="1:67" ht="15">
      <c r="A8" s="456" t="s">
        <v>105</v>
      </c>
      <c r="C8" s="347">
        <v>391087</v>
      </c>
      <c r="D8" s="9">
        <v>412356</v>
      </c>
      <c r="E8" s="9">
        <v>412369</v>
      </c>
      <c r="F8" s="27">
        <v>425986</v>
      </c>
      <c r="G8" s="296">
        <v>1641798</v>
      </c>
      <c r="I8" s="347">
        <v>447649</v>
      </c>
      <c r="J8" s="9">
        <v>473423</v>
      </c>
      <c r="K8" s="9">
        <v>464612</v>
      </c>
      <c r="L8" s="27">
        <f>M8-SUM(I8:K8)</f>
        <v>476291</v>
      </c>
      <c r="M8" s="296">
        <v>1861975</v>
      </c>
      <c r="O8" s="347">
        <v>463483</v>
      </c>
      <c r="P8" s="9">
        <v>480229</v>
      </c>
      <c r="Q8" s="9">
        <v>496005</v>
      </c>
      <c r="R8" s="27">
        <f>S8-SUM(O8:Q8)</f>
        <v>505304</v>
      </c>
      <c r="S8" s="296">
        <v>1945021</v>
      </c>
      <c r="U8" s="347">
        <v>492716</v>
      </c>
      <c r="V8" s="9">
        <v>411065</v>
      </c>
      <c r="W8" s="9">
        <v>428735</v>
      </c>
      <c r="X8" s="27">
        <f>Y8-SUM(U8:W8)</f>
        <v>454202</v>
      </c>
      <c r="Y8" s="296">
        <v>1786718</v>
      </c>
      <c r="AA8" s="347">
        <v>450338</v>
      </c>
      <c r="AB8" s="9">
        <v>492662</v>
      </c>
      <c r="AC8" s="9">
        <v>508498</v>
      </c>
      <c r="AD8" s="27">
        <f>AE8-SUM(AA8:AC8)</f>
        <v>653545</v>
      </c>
      <c r="AE8" s="296">
        <v>2105043</v>
      </c>
      <c r="AG8" s="347">
        <v>693424</v>
      </c>
      <c r="AH8" s="9">
        <v>736560</v>
      </c>
      <c r="AI8" s="9">
        <v>738041</v>
      </c>
      <c r="AJ8" s="27">
        <f>AK8-SUM(AG8:AI8)</f>
        <v>724701</v>
      </c>
      <c r="AK8" s="506">
        <v>2892726</v>
      </c>
      <c r="AL8" s="540"/>
      <c r="AM8" s="27">
        <f>AM5*AM48</f>
        <v>695670.72375539527</v>
      </c>
      <c r="AN8" s="27">
        <f t="shared" ref="AN8:AP8" si="2">AN5*AN48</f>
        <v>830932.83120497433</v>
      </c>
      <c r="AO8" s="27">
        <f t="shared" si="2"/>
        <v>807646.05463285348</v>
      </c>
      <c r="AP8" s="27">
        <f t="shared" si="2"/>
        <v>762286.11311898264</v>
      </c>
      <c r="AQ8" s="366">
        <f>SUM(AM8:AP8)</f>
        <v>3096535.7227122057</v>
      </c>
      <c r="AR8" s="625"/>
      <c r="AS8" s="27">
        <f>AS5*AS48</f>
        <v>775001.93000413571</v>
      </c>
      <c r="AT8" s="27">
        <f t="shared" ref="AT8:AV8" si="3">AT5*AT48</f>
        <v>942765.65135275864</v>
      </c>
      <c r="AU8" s="27">
        <f t="shared" si="3"/>
        <v>909229.24618969567</v>
      </c>
      <c r="AV8" s="27">
        <f t="shared" si="3"/>
        <v>846414.6900208178</v>
      </c>
      <c r="AW8" s="366">
        <f>SUM(AS8:AV8)</f>
        <v>3473411.5175674078</v>
      </c>
      <c r="AX8" s="625"/>
      <c r="AY8" s="27">
        <f>AY5*AY48</f>
        <v>873027.98588082963</v>
      </c>
      <c r="AZ8" s="27">
        <f t="shared" ref="AZ8:BB8" si="4">AZ5*AZ48</f>
        <v>1088957.314339841</v>
      </c>
      <c r="BA8" s="27">
        <f t="shared" si="4"/>
        <v>1033178.3515321147</v>
      </c>
      <c r="BB8" s="27">
        <f t="shared" si="4"/>
        <v>946100.80177689041</v>
      </c>
      <c r="BC8" s="366">
        <f>SUM(AY8:BB8)</f>
        <v>3941264.4535296755</v>
      </c>
      <c r="BD8" s="625"/>
      <c r="BE8" s="27">
        <f>BE5*BE48</f>
        <v>988730.53842878575</v>
      </c>
      <c r="BF8" s="27">
        <f t="shared" ref="BF8:BH8" si="5">BF5*BF48</f>
        <v>1315117.2806875706</v>
      </c>
      <c r="BG8" s="27">
        <f t="shared" si="5"/>
        <v>1218562.5879718328</v>
      </c>
      <c r="BH8" s="27">
        <f t="shared" si="5"/>
        <v>1091624.9583137874</v>
      </c>
      <c r="BI8" s="366">
        <f>SUM(BE8:BH8)</f>
        <v>4614035.3654019767</v>
      </c>
      <c r="BJ8" s="625"/>
      <c r="BK8" s="27">
        <f>BK5*BK48</f>
        <v>1161675.9665922467</v>
      </c>
      <c r="BL8" s="27">
        <f t="shared" ref="BL8:BN8" si="6">BL5*BL48</f>
        <v>1602987.5057708879</v>
      </c>
      <c r="BM8" s="27">
        <f t="shared" si="6"/>
        <v>1458317.1988393888</v>
      </c>
      <c r="BN8" s="27">
        <f t="shared" si="6"/>
        <v>1222854.2967634613</v>
      </c>
      <c r="BO8" s="366">
        <f>SUM(BK8:BN8)</f>
        <v>5445834.9679659847</v>
      </c>
    </row>
    <row r="9" spans="1:67" ht="15">
      <c r="A9" s="630" t="s">
        <v>79</v>
      </c>
      <c r="C9" s="351">
        <f t="shared" ref="C9:AK9" si="7">C5-C8</f>
        <v>169127</v>
      </c>
      <c r="D9" s="331">
        <f t="shared" si="7"/>
        <v>198584</v>
      </c>
      <c r="E9" s="331">
        <f t="shared" si="7"/>
        <v>199983</v>
      </c>
      <c r="F9" s="331">
        <f t="shared" si="7"/>
        <v>189158</v>
      </c>
      <c r="G9" s="298">
        <f t="shared" si="7"/>
        <v>756852</v>
      </c>
      <c r="I9" s="351">
        <f t="shared" si="7"/>
        <v>172070</v>
      </c>
      <c r="J9" s="331">
        <f t="shared" si="7"/>
        <v>223356</v>
      </c>
      <c r="K9" s="331">
        <f t="shared" si="7"/>
        <v>220571</v>
      </c>
      <c r="L9" s="331">
        <f t="shared" si="7"/>
        <v>231267</v>
      </c>
      <c r="M9" s="298">
        <f t="shared" si="7"/>
        <v>847264</v>
      </c>
      <c r="O9" s="351">
        <f t="shared" si="7"/>
        <v>193175</v>
      </c>
      <c r="P9" s="331">
        <f t="shared" si="7"/>
        <v>234856</v>
      </c>
      <c r="Q9" s="331">
        <f t="shared" si="7"/>
        <v>243914</v>
      </c>
      <c r="R9" s="331">
        <f t="shared" si="7"/>
        <v>225915</v>
      </c>
      <c r="S9" s="298">
        <f t="shared" si="7"/>
        <v>897860</v>
      </c>
      <c r="U9" s="351">
        <f t="shared" si="7"/>
        <v>227151</v>
      </c>
      <c r="V9" s="331">
        <f t="shared" si="7"/>
        <v>226774</v>
      </c>
      <c r="W9" s="331">
        <f t="shared" si="7"/>
        <v>252571</v>
      </c>
      <c r="X9" s="331">
        <f t="shared" si="7"/>
        <v>231370</v>
      </c>
      <c r="Y9" s="298">
        <f t="shared" si="7"/>
        <v>937866</v>
      </c>
      <c r="AA9" s="351">
        <f t="shared" si="7"/>
        <v>212370</v>
      </c>
      <c r="AB9" s="331">
        <f t="shared" si="7"/>
        <v>241901</v>
      </c>
      <c r="AC9" s="331">
        <f>AC5-AC8</f>
        <v>236051</v>
      </c>
      <c r="AD9" s="331">
        <f t="shared" si="7"/>
        <v>252654</v>
      </c>
      <c r="AE9" s="298">
        <f t="shared" si="7"/>
        <v>942976</v>
      </c>
      <c r="AG9" s="351">
        <f t="shared" si="7"/>
        <v>248637</v>
      </c>
      <c r="AH9" s="331">
        <f t="shared" si="7"/>
        <v>348483</v>
      </c>
      <c r="AI9" s="331">
        <f t="shared" si="7"/>
        <v>335769</v>
      </c>
      <c r="AJ9" s="331">
        <f t="shared" si="7"/>
        <v>307569</v>
      </c>
      <c r="AK9" s="508">
        <f t="shared" si="7"/>
        <v>1240458</v>
      </c>
      <c r="AL9" s="540"/>
      <c r="AM9" s="331">
        <f>AM5*AM10</f>
        <v>294092.99340607779</v>
      </c>
      <c r="AN9" s="331">
        <f>AN5*AN10</f>
        <v>394794.16351221444</v>
      </c>
      <c r="AO9" s="331">
        <f t="shared" ref="AO9:BO9" si="8">AO5*AO10</f>
        <v>378363.04541098792</v>
      </c>
      <c r="AP9" s="331">
        <f t="shared" si="8"/>
        <v>337958.7280127221</v>
      </c>
      <c r="AQ9" s="298">
        <f t="shared" si="8"/>
        <v>1401698.836501715</v>
      </c>
      <c r="AS9" s="351">
        <f t="shared" si="8"/>
        <v>332634.20213585766</v>
      </c>
      <c r="AT9" s="331">
        <f t="shared" si="8"/>
        <v>454975.82844645123</v>
      </c>
      <c r="AU9" s="331">
        <f t="shared" si="8"/>
        <v>437120.68945007963</v>
      </c>
      <c r="AV9" s="331">
        <f t="shared" si="8"/>
        <v>382342.36992568721</v>
      </c>
      <c r="AW9" s="298">
        <f t="shared" si="8"/>
        <v>1612470.1979336624</v>
      </c>
      <c r="AX9" s="625"/>
      <c r="AY9" s="331">
        <f t="shared" si="8"/>
        <v>378564.5916625699</v>
      </c>
      <c r="AZ9" s="331">
        <f t="shared" si="8"/>
        <v>529021.96070170659</v>
      </c>
      <c r="BA9" s="331">
        <f t="shared" si="8"/>
        <v>498487.13416748022</v>
      </c>
      <c r="BB9" s="331">
        <f t="shared" si="8"/>
        <v>422370.02435062343</v>
      </c>
      <c r="BC9" s="298">
        <f t="shared" si="8"/>
        <v>1845291.8695338801</v>
      </c>
      <c r="BD9" s="625"/>
      <c r="BE9" s="331">
        <f t="shared" si="8"/>
        <v>423225.3164209263</v>
      </c>
      <c r="BF9" s="331">
        <f t="shared" si="8"/>
        <v>629904.9486809955</v>
      </c>
      <c r="BG9" s="331">
        <f t="shared" si="8"/>
        <v>573382.3333307883</v>
      </c>
      <c r="BH9" s="331">
        <f t="shared" si="8"/>
        <v>477044.33589203161</v>
      </c>
      <c r="BI9" s="298">
        <f t="shared" si="8"/>
        <v>2103796.3888854058</v>
      </c>
      <c r="BJ9" s="625"/>
      <c r="BK9" s="331">
        <f t="shared" si="8"/>
        <v>487816.11220128118</v>
      </c>
      <c r="BL9" s="331">
        <f t="shared" si="8"/>
        <v>766936.93744696549</v>
      </c>
      <c r="BM9" s="331">
        <f t="shared" si="8"/>
        <v>688199.3346204058</v>
      </c>
      <c r="BN9" s="331">
        <f t="shared" si="8"/>
        <v>541544.94603810785</v>
      </c>
      <c r="BO9" s="298">
        <f t="shared" si="8"/>
        <v>2472070.9922516304</v>
      </c>
    </row>
    <row r="10" spans="1:67" ht="15">
      <c r="A10" s="630" t="s">
        <v>106</v>
      </c>
      <c r="C10" s="352">
        <f t="shared" ref="C10:AK10" si="9">C9/C5</f>
        <v>0.30189713216735031</v>
      </c>
      <c r="D10" s="332">
        <f t="shared" si="9"/>
        <v>0.32504664942547551</v>
      </c>
      <c r="E10" s="332">
        <f t="shared" si="9"/>
        <v>0.32658176996237459</v>
      </c>
      <c r="F10" s="332">
        <f t="shared" si="9"/>
        <v>0.30750198327546069</v>
      </c>
      <c r="G10" s="299">
        <f t="shared" si="9"/>
        <v>0.31553248702395098</v>
      </c>
      <c r="I10" s="352">
        <f t="shared" si="9"/>
        <v>0.27765809988075241</v>
      </c>
      <c r="J10" s="332">
        <f t="shared" si="9"/>
        <v>0.32055501098626682</v>
      </c>
      <c r="K10" s="332">
        <f t="shared" si="9"/>
        <v>0.32191545908173436</v>
      </c>
      <c r="L10" s="332">
        <f t="shared" si="9"/>
        <v>0.32685235697992249</v>
      </c>
      <c r="M10" s="299">
        <f t="shared" si="9"/>
        <v>0.31273136109438848</v>
      </c>
      <c r="O10" s="352">
        <f t="shared" si="9"/>
        <v>0.29417900946916048</v>
      </c>
      <c r="P10" s="332">
        <f t="shared" si="9"/>
        <v>0.32843088583874647</v>
      </c>
      <c r="Q10" s="332">
        <f t="shared" si="9"/>
        <v>0.32964959678018813</v>
      </c>
      <c r="R10" s="332">
        <f t="shared" si="9"/>
        <v>0.30895668739461091</v>
      </c>
      <c r="S10" s="299">
        <f t="shared" si="9"/>
        <v>0.31582750034208257</v>
      </c>
      <c r="U10" s="352">
        <f t="shared" si="9"/>
        <v>0.31554578831923119</v>
      </c>
      <c r="V10" s="332">
        <f t="shared" si="9"/>
        <v>0.3555348606780081</v>
      </c>
      <c r="W10" s="332">
        <f t="shared" si="9"/>
        <v>0.37071594848717021</v>
      </c>
      <c r="X10" s="332">
        <f t="shared" si="9"/>
        <v>0.33748461139019681</v>
      </c>
      <c r="Y10" s="299">
        <f t="shared" si="9"/>
        <v>0.34422355853223829</v>
      </c>
      <c r="AA10" s="352">
        <f t="shared" si="9"/>
        <v>0.32045787888481803</v>
      </c>
      <c r="AB10" s="332">
        <f t="shared" si="9"/>
        <v>0.32931280230558851</v>
      </c>
      <c r="AC10" s="332">
        <f t="shared" si="9"/>
        <v>0.31703890543134167</v>
      </c>
      <c r="AD10" s="332">
        <f t="shared" si="9"/>
        <v>0.27880631075514317</v>
      </c>
      <c r="AE10" s="299">
        <f t="shared" si="9"/>
        <v>0.30937339957526511</v>
      </c>
      <c r="AG10" s="352">
        <f t="shared" si="9"/>
        <v>0.26392876894383699</v>
      </c>
      <c r="AH10" s="332">
        <f t="shared" si="9"/>
        <v>0.32116976009245718</v>
      </c>
      <c r="AI10" s="332">
        <f t="shared" si="9"/>
        <v>0.31268939570315046</v>
      </c>
      <c r="AJ10" s="332">
        <f t="shared" si="9"/>
        <v>0.29795402365660145</v>
      </c>
      <c r="AK10" s="509">
        <f t="shared" si="9"/>
        <v>0.30012164955637105</v>
      </c>
      <c r="AL10" s="540"/>
      <c r="AM10" s="330">
        <f>AVERAGE(AG10,AA10,O10,I10)</f>
        <v>0.28905593929464202</v>
      </c>
      <c r="AN10" s="330">
        <f>AVERAGE(AH10,AB10,P10,J10)</f>
        <v>0.32486711480576475</v>
      </c>
      <c r="AO10" s="330">
        <f>AVERAGE(AI10,AC10,Q10,K10)</f>
        <v>0.32032333924910361</v>
      </c>
      <c r="AP10" s="330">
        <f>AVERAGE(AJ10,AD10,R10,L10)</f>
        <v>0.30314234469656953</v>
      </c>
      <c r="AQ10" s="297">
        <f>AVERAGE(AK10,AE10,S10,M10)</f>
        <v>0.3095134776420268</v>
      </c>
      <c r="AS10" s="349">
        <f t="shared" ref="AS10:AV10" si="10">AVERAGE(AM10,AG10,U10,AA10,O10,I10)</f>
        <v>0.29347091413207355</v>
      </c>
      <c r="AT10" s="330">
        <f t="shared" si="10"/>
        <v>0.32997840578447191</v>
      </c>
      <c r="AU10" s="330">
        <f t="shared" si="10"/>
        <v>0.32872210745544811</v>
      </c>
      <c r="AV10" s="330">
        <f t="shared" si="10"/>
        <v>0.30886605581217402</v>
      </c>
      <c r="AW10" s="726">
        <f>AVERAGE(AQ10,AK10,Y10,S10)</f>
        <v>0.31742154651817966</v>
      </c>
      <c r="AY10" s="349">
        <f>AVERAGE(AS10,AM10,AA10,U10,AG10)</f>
        <v>0.29649185791492039</v>
      </c>
      <c r="AZ10" s="330">
        <f>AVERAGE(AT10,AN10,AB10,V10,AH10)</f>
        <v>0.33217258873325806</v>
      </c>
      <c r="BA10" s="330">
        <f>AVERAGE(AU10,AO10,AC10,W10,AI10)</f>
        <v>0.3298979392652428</v>
      </c>
      <c r="BB10" s="330">
        <f>AVERAGE(AV10,AP10,AD10,X10,AJ10)</f>
        <v>0.30525066926213701</v>
      </c>
      <c r="BC10" s="370">
        <f>AVERAGE(AW10,AQ10,AE10,Y10)</f>
        <v>0.32013299556692748</v>
      </c>
      <c r="BD10" s="625"/>
      <c r="BE10" s="349">
        <f>AVERAGE(AY10,AS10,AM10,AG10,AA10)</f>
        <v>0.29268107183405823</v>
      </c>
      <c r="BF10" s="330">
        <f>AVERAGE(AZ10,AT10,AN10,AH10,AB10)</f>
        <v>0.32750013434430808</v>
      </c>
      <c r="BG10" s="330">
        <f>AVERAGE(BA10,AU10,AO10,AI10,AC10)</f>
        <v>0.32173433742085733</v>
      </c>
      <c r="BH10" s="330">
        <f>AVERAGE(BB10,AV10,AP10,AJ10,AD10)</f>
        <v>0.29880388083652509</v>
      </c>
      <c r="BI10" s="370">
        <f>AVERAGE(BC10,AW10,AK10,AE10)</f>
        <v>0.3117623978041858</v>
      </c>
      <c r="BJ10" s="625"/>
      <c r="BK10" s="349">
        <f>AVERAGE(BE10,AY10,AS10,AM10,AG10)</f>
        <v>0.28712571042390628</v>
      </c>
      <c r="BL10" s="330">
        <f>AVERAGE(BF10,AZ10,AT10,AN10,AH10)</f>
        <v>0.327137600752052</v>
      </c>
      <c r="BM10" s="330">
        <f>AVERAGE(BG10,BA10,AU10,AO10,AI10)</f>
        <v>0.32267342381876046</v>
      </c>
      <c r="BN10" s="330">
        <f>AVERAGE(BH10,BB10,AV10,AP10,AJ10)</f>
        <v>0.30280339485280139</v>
      </c>
      <c r="BO10" s="370">
        <f>AVERAGE(BI10,BC10,AQ10,AK10)</f>
        <v>0.31038263014237777</v>
      </c>
    </row>
    <row r="11" spans="1:67" ht="15">
      <c r="A11" s="457"/>
      <c r="C11" s="352"/>
      <c r="D11" s="332"/>
      <c r="E11" s="332"/>
      <c r="F11" s="332"/>
      <c r="G11" s="299"/>
      <c r="I11" s="352"/>
      <c r="J11" s="332"/>
      <c r="K11" s="332"/>
      <c r="L11" s="332"/>
      <c r="M11" s="299"/>
      <c r="O11" s="352"/>
      <c r="P11" s="332"/>
      <c r="Q11" s="332"/>
      <c r="R11" s="332"/>
      <c r="S11" s="299"/>
      <c r="U11" s="352"/>
      <c r="V11" s="332"/>
      <c r="W11" s="332"/>
      <c r="X11" s="332"/>
      <c r="Y11" s="299"/>
      <c r="AA11" s="352"/>
      <c r="AB11" s="332"/>
      <c r="AC11" s="332"/>
      <c r="AD11" s="332"/>
      <c r="AE11" s="299"/>
      <c r="AG11" s="352"/>
      <c r="AH11" s="332"/>
      <c r="AI11" s="332"/>
      <c r="AJ11" s="332"/>
      <c r="AK11" s="509"/>
      <c r="AL11" s="540"/>
      <c r="AM11" s="6"/>
      <c r="AN11" s="6"/>
      <c r="AO11" s="6"/>
      <c r="AP11" s="6"/>
      <c r="AQ11" s="372"/>
      <c r="AS11" s="371"/>
      <c r="AT11" s="6"/>
      <c r="AU11" s="6"/>
      <c r="AV11" s="6"/>
      <c r="AW11" s="372"/>
      <c r="AY11" s="371"/>
      <c r="AZ11" s="6"/>
      <c r="BA11" s="6"/>
      <c r="BB11" s="6"/>
      <c r="BC11" s="372"/>
      <c r="BD11" s="625"/>
      <c r="BE11" s="6"/>
      <c r="BF11" s="6"/>
      <c r="BG11" s="6"/>
      <c r="BH11" s="6"/>
      <c r="BI11" s="372"/>
      <c r="BJ11" s="625"/>
      <c r="BK11" s="6"/>
      <c r="BL11" s="6"/>
      <c r="BM11" s="6"/>
      <c r="BN11" s="6"/>
      <c r="BO11" s="372"/>
    </row>
    <row r="12" spans="1:67" ht="15">
      <c r="A12" s="456" t="s">
        <v>2</v>
      </c>
      <c r="C12" s="347">
        <v>128727</v>
      </c>
      <c r="D12" s="9">
        <v>141848</v>
      </c>
      <c r="E12" s="9">
        <v>143494</v>
      </c>
      <c r="F12" s="27">
        <v>132259</v>
      </c>
      <c r="G12" s="296">
        <v>546328</v>
      </c>
      <c r="I12" s="347">
        <v>130059</v>
      </c>
      <c r="J12" s="9">
        <v>152361</v>
      </c>
      <c r="K12" s="9">
        <v>157998</v>
      </c>
      <c r="L12" s="27">
        <f>M12-SUM(I12:K12)</f>
        <v>150646</v>
      </c>
      <c r="M12" s="296">
        <v>591064</v>
      </c>
      <c r="O12" s="347">
        <v>124181</v>
      </c>
      <c r="P12" s="9">
        <v>153593</v>
      </c>
      <c r="Q12" s="9">
        <v>151749</v>
      </c>
      <c r="R12" s="27">
        <f>S12-SUM(O12:Q12)</f>
        <v>139786</v>
      </c>
      <c r="S12" s="296">
        <v>569309</v>
      </c>
      <c r="U12" s="347">
        <v>138696</v>
      </c>
      <c r="V12" s="9">
        <v>72161</v>
      </c>
      <c r="W12" s="9">
        <v>98038</v>
      </c>
      <c r="X12" s="27">
        <f>Y12-SUM(U12:W12)</f>
        <v>110618</v>
      </c>
      <c r="Y12" s="296">
        <v>419513</v>
      </c>
      <c r="AA12" s="347">
        <v>145440</v>
      </c>
      <c r="AB12" s="9">
        <v>191895</v>
      </c>
      <c r="AC12" s="9">
        <v>206930</v>
      </c>
      <c r="AD12" s="27">
        <f>AE12-SUM(AA12:AC12)</f>
        <v>213282</v>
      </c>
      <c r="AE12" s="296">
        <v>757547</v>
      </c>
      <c r="AG12" s="347">
        <v>227048</v>
      </c>
      <c r="AH12" s="9">
        <v>271269</v>
      </c>
      <c r="AI12" s="9">
        <v>289276</v>
      </c>
      <c r="AJ12" s="27">
        <f>AK12-SUM(AG12:AI12)</f>
        <v>245828</v>
      </c>
      <c r="AK12" s="506">
        <v>1033421</v>
      </c>
      <c r="AL12" s="540"/>
      <c r="AM12" s="27">
        <f>AG12*(1+AM13)</f>
        <v>236129.92000000001</v>
      </c>
      <c r="AN12" s="27">
        <f>AH12*(1+AN13)</f>
        <v>292970.52</v>
      </c>
      <c r="AO12" s="27">
        <f>AI12*(1+AO13)</f>
        <v>306632.56</v>
      </c>
      <c r="AP12" s="27">
        <f>AJ12*(1+AP13)</f>
        <v>255661.12</v>
      </c>
      <c r="AQ12" s="366">
        <f>SUM(AM12:AP12)</f>
        <v>1091394.1200000001</v>
      </c>
      <c r="AS12" s="365">
        <f>AM12*(1+AS13)</f>
        <v>264928.87140970072</v>
      </c>
      <c r="AT12" s="27">
        <f>AN12*(1+AT13)</f>
        <v>295645.4959635649</v>
      </c>
      <c r="AU12" s="27">
        <f>AO12*(1+AU13)</f>
        <v>316783.40257851995</v>
      </c>
      <c r="AV12" s="27">
        <f>AP12*(1+AV13)</f>
        <v>297374.88667111209</v>
      </c>
      <c r="AW12" s="366">
        <f>SUM(AS12:AV12)</f>
        <v>1174732.6566228976</v>
      </c>
      <c r="AY12" s="365">
        <f>AS12*(1+AY13)</f>
        <v>302168.54158290144</v>
      </c>
      <c r="AZ12" s="27">
        <f>AT12*(1+AZ13)</f>
        <v>294502.44956443377</v>
      </c>
      <c r="BA12" s="27">
        <f>AU12*(1+BA13)</f>
        <v>322963.72862814256</v>
      </c>
      <c r="BB12" s="27">
        <f>AV12*(1+BB13)</f>
        <v>347091.01232300588</v>
      </c>
      <c r="BC12" s="366">
        <f>SUM(AY12:BB12)</f>
        <v>1266725.7320984835</v>
      </c>
      <c r="BD12" s="625"/>
      <c r="BE12" s="27">
        <f>AY12*(1+BE13)</f>
        <v>353997.91892297642</v>
      </c>
      <c r="BF12" s="27">
        <f>AZ12*(1+BF13)</f>
        <v>292659.82425880508</v>
      </c>
      <c r="BG12" s="27">
        <f>BA12*(1+BG13)</f>
        <v>333079.52722856152</v>
      </c>
      <c r="BH12" s="27">
        <f>BB12*(1+BH13)</f>
        <v>418960.42286954791</v>
      </c>
      <c r="BI12" s="366">
        <f>SUM(BE12:BH12)</f>
        <v>1398697.693279891</v>
      </c>
      <c r="BJ12" s="625"/>
      <c r="BK12" s="27">
        <f>BE12*(1+BK13)</f>
        <v>427287.02426732273</v>
      </c>
      <c r="BL12" s="27">
        <f>BF12*(1+BL13)</f>
        <v>321495.00971790089</v>
      </c>
      <c r="BM12" s="27">
        <f>BG12*(1+BM13)</f>
        <v>369177.15385747299</v>
      </c>
      <c r="BN12" s="27">
        <f>BH12*(1+BN13)</f>
        <v>480128.80902469449</v>
      </c>
      <c r="BO12" s="366">
        <f>SUM(BK12:BN12)</f>
        <v>1598087.9968673913</v>
      </c>
    </row>
    <row r="13" spans="1:67" ht="15">
      <c r="A13" s="630" t="s">
        <v>83</v>
      </c>
      <c r="C13" s="353"/>
      <c r="D13" s="333"/>
      <c r="E13" s="333"/>
      <c r="F13" s="354"/>
      <c r="G13" s="300"/>
      <c r="I13" s="353">
        <f>I12/C12-1</f>
        <v>1.0347479549744909E-2</v>
      </c>
      <c r="J13" s="333">
        <f>J12/D12-1</f>
        <v>7.4114545146917843E-2</v>
      </c>
      <c r="K13" s="333">
        <f>K12/E12-1</f>
        <v>0.10107739696433304</v>
      </c>
      <c r="L13" s="333">
        <f>L12/F12-1</f>
        <v>0.13902267520546796</v>
      </c>
      <c r="M13" s="300">
        <f>M12/G12-1</f>
        <v>8.1884875020134418E-2</v>
      </c>
      <c r="O13" s="353">
        <f>O12/I12-1</f>
        <v>-4.5194873096056409E-2</v>
      </c>
      <c r="P13" s="333">
        <f>P12/J12-1</f>
        <v>8.0860587683200258E-3</v>
      </c>
      <c r="Q13" s="333">
        <f>Q12/K12-1</f>
        <v>-3.9551133558652696E-2</v>
      </c>
      <c r="R13" s="333">
        <f>R12/L12-1</f>
        <v>-7.2089534405161748E-2</v>
      </c>
      <c r="S13" s="300">
        <f>S12/M12-1</f>
        <v>-3.6806504879336233E-2</v>
      </c>
      <c r="U13" s="353">
        <f>U12/O12-1</f>
        <v>0.11688583599745539</v>
      </c>
      <c r="V13" s="333">
        <f>V12/P12-1</f>
        <v>-0.53018041186772835</v>
      </c>
      <c r="W13" s="333">
        <f>W12/Q12-1</f>
        <v>-0.35394631925086817</v>
      </c>
      <c r="X13" s="333">
        <f>X12/R12-1</f>
        <v>-0.20866181162634312</v>
      </c>
      <c r="Y13" s="300">
        <f>Y12/S12-1</f>
        <v>-0.26311897405451168</v>
      </c>
      <c r="AA13" s="353">
        <f>AA12/U12-1</f>
        <v>4.862432946876627E-2</v>
      </c>
      <c r="AB13" s="333">
        <f>AB12/V12-1</f>
        <v>1.6592619281883567</v>
      </c>
      <c r="AC13" s="333">
        <f>AC12/W12-1</f>
        <v>1.1107121728309433</v>
      </c>
      <c r="AD13" s="333">
        <f>AD12/X12-1</f>
        <v>0.9280948851000741</v>
      </c>
      <c r="AE13" s="300">
        <f>AE12/Y12-1</f>
        <v>0.80577717496239698</v>
      </c>
      <c r="AG13" s="353">
        <f>AG12/AA12-1</f>
        <v>0.56111111111111112</v>
      </c>
      <c r="AH13" s="333">
        <f>AH12/AB12-1</f>
        <v>0.4136324552489643</v>
      </c>
      <c r="AI13" s="333">
        <f>AI12/AC12-1</f>
        <v>0.39794133281786115</v>
      </c>
      <c r="AJ13" s="333">
        <f>AJ12/AD12-1</f>
        <v>0.15259609343498282</v>
      </c>
      <c r="AK13" s="510">
        <f>AK12/AE12-1</f>
        <v>0.3641675037984442</v>
      </c>
      <c r="AL13" s="540"/>
      <c r="AM13" s="333">
        <v>0.04</v>
      </c>
      <c r="AN13" s="333">
        <v>0.08</v>
      </c>
      <c r="AO13" s="333">
        <v>0.06</v>
      </c>
      <c r="AP13" s="333">
        <v>0.04</v>
      </c>
      <c r="AQ13" s="300">
        <f>AQ12/AK12-1</f>
        <v>5.6098260050841064E-2</v>
      </c>
      <c r="AS13" s="349">
        <f>AVERAGE(AM13,AG13,U13,O13,I13,AA13)</f>
        <v>0.12196231383850355</v>
      </c>
      <c r="AT13" s="330">
        <f>AVERAGE(AN13,AH13,V13,P13,J13)</f>
        <v>9.1305294592947672E-3</v>
      </c>
      <c r="AU13" s="330">
        <f>AVERAGE(AO13,AI13,W13,Q13,K13)</f>
        <v>3.3104255394534668E-2</v>
      </c>
      <c r="AV13" s="330">
        <f>AVERAGE(AP13,AJ13,X13,R13,L13,AD13)</f>
        <v>0.16316038461817001</v>
      </c>
      <c r="AW13" s="300">
        <f>AW12/AQ12-1</f>
        <v>7.635970828109051E-2</v>
      </c>
      <c r="AY13" s="349">
        <f>AVERAGE(AS13,AM13,AA13,U13,O13,AG13)</f>
        <v>0.14056478621996332</v>
      </c>
      <c r="AZ13" s="330">
        <f>AVERAGE(AT13,AN13,AH13,V13,P13)</f>
        <v>-3.8662736782298481E-3</v>
      </c>
      <c r="BA13" s="330">
        <f>AVERAGE(AU13,AO13,AI13,W13,Q13)</f>
        <v>1.9509627080574986E-2</v>
      </c>
      <c r="BB13" s="330">
        <f>AVERAGE(AV13,AP13,AD13,X13,R13,AJ13)</f>
        <v>0.16718333618695369</v>
      </c>
      <c r="BC13" s="300">
        <f>BC12/AW12-1</f>
        <v>7.830979666475435E-2</v>
      </c>
      <c r="BD13" s="625"/>
      <c r="BE13" s="349">
        <f>AVERAGE(AY13,AS13,AG13,AA13,AM13,U13)</f>
        <v>0.17152472943929994</v>
      </c>
      <c r="BF13" s="330">
        <f>AVERAGE(AZ13,AT13,AN13,AH13,V13)</f>
        <v>-6.2567401675398312E-3</v>
      </c>
      <c r="BG13" s="330">
        <f>AVERAGE(BA13,AU13,AO13,AI13,W13)</f>
        <v>3.1321779208420518E-2</v>
      </c>
      <c r="BH13" s="330">
        <f>AVERAGE(BB13,AV13,AP13,AJ13,AD13,X13)</f>
        <v>0.20706214795230626</v>
      </c>
      <c r="BI13" s="300">
        <f>BI12/BC12-1</f>
        <v>0.10418353226533106</v>
      </c>
      <c r="BJ13" s="625"/>
      <c r="BK13" s="349">
        <f>AVERAGE(BE13,AY13,AS13,AM13,AG13)</f>
        <v>0.20703258812177555</v>
      </c>
      <c r="BL13" s="330">
        <f>AVERAGE(BF13,AZ13,AT13,AN13,AH13)</f>
        <v>9.8527994172497885E-2</v>
      </c>
      <c r="BM13" s="330">
        <f>AVERAGE(BG13,BA13,AU13,AO13,AI13)</f>
        <v>0.10837539890027825</v>
      </c>
      <c r="BN13" s="330">
        <f>AVERAGE(BH13,BB13,AV13,AP13,AJ13)</f>
        <v>0.14600039243848256</v>
      </c>
      <c r="BO13" s="300">
        <f>BO12/BI12-1</f>
        <v>0.1425542521057126</v>
      </c>
    </row>
    <row r="14" spans="1:67" ht="15">
      <c r="A14" s="630" t="s">
        <v>82</v>
      </c>
      <c r="C14" s="353">
        <f t="shared" ref="C14:AN14" si="11">C12/C$23</f>
        <v>0.18684764007367829</v>
      </c>
      <c r="D14" s="333">
        <f t="shared" si="11"/>
        <v>0.18843020877059677</v>
      </c>
      <c r="E14" s="333">
        <f t="shared" si="11"/>
        <v>0.18984555054865673</v>
      </c>
      <c r="F14" s="333">
        <f t="shared" si="11"/>
        <v>0.17695808017896636</v>
      </c>
      <c r="G14" s="300">
        <f t="shared" si="11"/>
        <v>0.18551174236276127</v>
      </c>
      <c r="I14" s="353">
        <f t="shared" si="11"/>
        <v>0.17346334515016446</v>
      </c>
      <c r="J14" s="333">
        <f t="shared" si="11"/>
        <v>0.17942977600866758</v>
      </c>
      <c r="K14" s="333">
        <f t="shared" si="11"/>
        <v>0.1873832546036972</v>
      </c>
      <c r="L14" s="333">
        <f t="shared" si="11"/>
        <v>0.17553635266207102</v>
      </c>
      <c r="M14" s="300">
        <f t="shared" si="11"/>
        <v>0.17909385895779872</v>
      </c>
      <c r="O14" s="353">
        <f t="shared" si="11"/>
        <v>0.15903534531446303</v>
      </c>
      <c r="P14" s="333">
        <f t="shared" si="11"/>
        <v>0.17681235164238071</v>
      </c>
      <c r="Q14" s="333">
        <f t="shared" si="11"/>
        <v>0.17018553990947302</v>
      </c>
      <c r="R14" s="333">
        <f t="shared" si="11"/>
        <v>0.16048817170969168</v>
      </c>
      <c r="S14" s="300">
        <f t="shared" si="11"/>
        <v>0.16684563286335169</v>
      </c>
      <c r="U14" s="353">
        <f t="shared" si="11"/>
        <v>0.16154434793952221</v>
      </c>
      <c r="V14" s="333">
        <f t="shared" si="11"/>
        <v>0.10163521126760564</v>
      </c>
      <c r="W14" s="333">
        <f t="shared" si="11"/>
        <v>0.12579554086513786</v>
      </c>
      <c r="X14" s="333">
        <f t="shared" si="11"/>
        <v>0.1389341740036926</v>
      </c>
      <c r="Y14" s="300">
        <f t="shared" si="11"/>
        <v>0.13342877144057577</v>
      </c>
      <c r="AA14" s="353">
        <f t="shared" si="11"/>
        <v>0.17996703574097814</v>
      </c>
      <c r="AB14" s="333">
        <f t="shared" si="11"/>
        <v>0.20712757620960692</v>
      </c>
      <c r="AC14" s="333">
        <f t="shared" si="11"/>
        <v>0.21748246677015468</v>
      </c>
      <c r="AD14" s="333">
        <f t="shared" si="11"/>
        <v>0.19051864212076847</v>
      </c>
      <c r="AE14" s="300">
        <f t="shared" si="11"/>
        <v>0.19906289892226281</v>
      </c>
      <c r="AG14" s="353">
        <f t="shared" si="11"/>
        <v>0.19420601500801038</v>
      </c>
      <c r="AH14" s="333">
        <f t="shared" si="11"/>
        <v>0.20000486613699503</v>
      </c>
      <c r="AI14" s="333">
        <f t="shared" si="11"/>
        <v>0.2122213858846764</v>
      </c>
      <c r="AJ14" s="333">
        <f t="shared" si="11"/>
        <v>0.19233892862675633</v>
      </c>
      <c r="AK14" s="510">
        <f t="shared" si="11"/>
        <v>0.20001935506972179</v>
      </c>
      <c r="AL14" s="540"/>
      <c r="AM14" s="333">
        <f t="shared" si="11"/>
        <v>0.18836809657775108</v>
      </c>
      <c r="AN14" s="333">
        <f t="shared" si="11"/>
        <v>0.1942493644224059</v>
      </c>
      <c r="AO14" s="333">
        <f t="shared" ref="AO14:BO14" si="12">AO12/AO$23</f>
        <v>0.20609470655243556</v>
      </c>
      <c r="AP14" s="333">
        <f t="shared" si="12"/>
        <v>0.18654414239949554</v>
      </c>
      <c r="AQ14" s="300">
        <f t="shared" si="12"/>
        <v>0.19419441477341987</v>
      </c>
      <c r="AS14" s="353">
        <f t="shared" si="12"/>
        <v>0.18945447374417673</v>
      </c>
      <c r="AT14" s="333">
        <f t="shared" si="12"/>
        <v>0.17656271236878973</v>
      </c>
      <c r="AU14" s="333">
        <f t="shared" si="12"/>
        <v>0.19239327800446454</v>
      </c>
      <c r="AV14" s="333">
        <f t="shared" si="12"/>
        <v>0.19369607410179368</v>
      </c>
      <c r="AW14" s="300">
        <f t="shared" si="12"/>
        <v>0.1878179638782333</v>
      </c>
      <c r="AX14" s="625"/>
      <c r="AY14" s="333">
        <f t="shared" si="12"/>
        <v>0.19136929521764909</v>
      </c>
      <c r="AZ14" s="333">
        <f>AZ12/AZ$23</f>
        <v>0.1560596878494169</v>
      </c>
      <c r="BA14" s="333">
        <f t="shared" si="12"/>
        <v>0.17609817800853803</v>
      </c>
      <c r="BB14" s="333">
        <f t="shared" si="12"/>
        <v>0.20054097192923329</v>
      </c>
      <c r="BC14" s="300">
        <f t="shared" si="12"/>
        <v>0.18016635773885684</v>
      </c>
      <c r="BD14" s="625"/>
      <c r="BE14" s="333">
        <f t="shared" si="12"/>
        <v>0.1966625698812271</v>
      </c>
      <c r="BF14" s="333">
        <f t="shared" si="12"/>
        <v>0.13206474553705669</v>
      </c>
      <c r="BG14" s="333">
        <f t="shared" si="12"/>
        <v>0.15746651501258219</v>
      </c>
      <c r="BH14" s="333">
        <f t="shared" si="12"/>
        <v>0.20787194679717164</v>
      </c>
      <c r="BI14" s="300">
        <f t="shared" si="12"/>
        <v>0.17168731167789686</v>
      </c>
      <c r="BJ14" s="625"/>
      <c r="BK14" s="333">
        <f>BK12/BK$23</f>
        <v>0.20095798317086278</v>
      </c>
      <c r="BL14" s="333">
        <f t="shared" si="12"/>
        <v>0.12059614140109795</v>
      </c>
      <c r="BM14" s="333">
        <f t="shared" si="12"/>
        <v>0.14755390045965261</v>
      </c>
      <c r="BN14" s="333">
        <f t="shared" si="12"/>
        <v>0.21164415931990546</v>
      </c>
      <c r="BO14" s="300">
        <f t="shared" si="12"/>
        <v>0.16711716888431472</v>
      </c>
    </row>
    <row r="15" spans="1:67" ht="15">
      <c r="A15" s="456" t="s">
        <v>107</v>
      </c>
      <c r="C15" s="347">
        <v>105498</v>
      </c>
      <c r="D15" s="9">
        <v>107447</v>
      </c>
      <c r="E15" s="9">
        <v>107226</v>
      </c>
      <c r="F15" s="27">
        <v>100704</v>
      </c>
      <c r="G15" s="296">
        <v>420875</v>
      </c>
      <c r="I15" s="347">
        <v>98776</v>
      </c>
      <c r="J15" s="9">
        <v>110161</v>
      </c>
      <c r="K15" s="9">
        <v>116073</v>
      </c>
      <c r="L15" s="27">
        <f>M15-SUM(I15:K15)</f>
        <v>118566</v>
      </c>
      <c r="M15" s="296">
        <v>443576</v>
      </c>
      <c r="O15" s="347">
        <v>100881</v>
      </c>
      <c r="P15" s="9">
        <v>114704</v>
      </c>
      <c r="Q15" s="9">
        <v>116749</v>
      </c>
      <c r="R15" s="27">
        <f>S15-SUM(O15:Q15)</f>
        <v>110464</v>
      </c>
      <c r="S15" s="296">
        <v>442798</v>
      </c>
      <c r="U15" s="347">
        <v>113950</v>
      </c>
      <c r="V15" s="9">
        <v>59616</v>
      </c>
      <c r="W15" s="9">
        <v>82894</v>
      </c>
      <c r="X15" s="27">
        <f>Y15-SUM(U15:W15)</f>
        <v>94573</v>
      </c>
      <c r="Y15" s="296">
        <v>351033</v>
      </c>
      <c r="AA15" s="347">
        <v>110198</v>
      </c>
      <c r="AB15" s="9">
        <v>125224</v>
      </c>
      <c r="AC15" s="9">
        <v>130734</v>
      </c>
      <c r="AD15" s="27">
        <f>AE15-SUM(AA15:AC15)</f>
        <v>138638</v>
      </c>
      <c r="AE15" s="296">
        <v>504794</v>
      </c>
      <c r="AG15" s="347">
        <v>149965</v>
      </c>
      <c r="AH15" s="9">
        <v>161909</v>
      </c>
      <c r="AI15" s="9">
        <v>172607</v>
      </c>
      <c r="AJ15" s="27">
        <f>AK15-SUM(AG15:AI15)</f>
        <v>166723</v>
      </c>
      <c r="AK15" s="506">
        <v>651204</v>
      </c>
      <c r="AL15" s="540"/>
      <c r="AM15" s="27">
        <f>AM12*AM49</f>
        <v>174944.50861531647</v>
      </c>
      <c r="AN15" s="27">
        <f t="shared" ref="AN15:AP15" si="13">AN12*AN49</f>
        <v>217056.71039135469</v>
      </c>
      <c r="AO15" s="27">
        <f t="shared" si="13"/>
        <v>227178.67576737647</v>
      </c>
      <c r="AP15" s="27">
        <f t="shared" si="13"/>
        <v>189414.8315064921</v>
      </c>
      <c r="AQ15" s="366">
        <f>SUM(AM15:AP15)</f>
        <v>808594.72628053976</v>
      </c>
      <c r="AR15" s="625"/>
      <c r="AS15" s="27">
        <f>AS12*AS49</f>
        <v>196281.14567938048</v>
      </c>
      <c r="AT15" s="27">
        <f t="shared" ref="AT15:AV15" si="14">AT12*AT49</f>
        <v>219038.55307992053</v>
      </c>
      <c r="AU15" s="27">
        <f t="shared" si="14"/>
        <v>234699.25667017186</v>
      </c>
      <c r="AV15" s="27">
        <f t="shared" si="14"/>
        <v>220319.82826747719</v>
      </c>
      <c r="AW15" s="366">
        <f>SUM(AS15:AV15)</f>
        <v>870338.78369695006</v>
      </c>
      <c r="AX15" s="625"/>
      <c r="AY15" s="27">
        <f>AY12*AY49</f>
        <v>223871.36296081205</v>
      </c>
      <c r="AZ15" s="27">
        <f t="shared" ref="AZ15:BB15" si="15">AZ12*AZ49</f>
        <v>218191.69008763009</v>
      </c>
      <c r="BA15" s="27">
        <f t="shared" si="15"/>
        <v>239278.15164389511</v>
      </c>
      <c r="BB15" s="27">
        <f t="shared" si="15"/>
        <v>257153.63218537075</v>
      </c>
      <c r="BC15" s="366">
        <f>SUM(AY15:BB15)</f>
        <v>938494.83687770797</v>
      </c>
      <c r="BD15" s="625"/>
      <c r="BE15" s="27">
        <f>BE12*BE49</f>
        <v>262270.83792187262</v>
      </c>
      <c r="BF15" s="27">
        <f t="shared" ref="BF15:BH15" si="16">BF12*BF49</f>
        <v>216826.52137603541</v>
      </c>
      <c r="BG15" s="27">
        <f t="shared" si="16"/>
        <v>246772.76907908416</v>
      </c>
      <c r="BH15" s="27">
        <f t="shared" si="16"/>
        <v>310400.41561941092</v>
      </c>
      <c r="BI15" s="366">
        <f>SUM(BE15:BH15)</f>
        <v>1036270.5439964031</v>
      </c>
      <c r="BJ15" s="625"/>
      <c r="BK15" s="27">
        <f>BK12*BK49</f>
        <v>316569.44828570465</v>
      </c>
      <c r="BL15" s="27">
        <f t="shared" ref="BL15:BN15" si="17">BL12*BL49</f>
        <v>238190.0036106164</v>
      </c>
      <c r="BM15" s="27">
        <f t="shared" si="17"/>
        <v>273516.8663657562</v>
      </c>
      <c r="BN15" s="27">
        <f t="shared" si="17"/>
        <v>355718.99811291299</v>
      </c>
      <c r="BO15" s="366">
        <f>SUM(BK15:BN15)</f>
        <v>1183995.3163749902</v>
      </c>
    </row>
    <row r="16" spans="1:67" ht="15">
      <c r="A16" s="630" t="s">
        <v>79</v>
      </c>
      <c r="C16" s="355">
        <f t="shared" ref="C16:AK16" si="18">C12-C15</f>
        <v>23229</v>
      </c>
      <c r="D16" s="334">
        <f t="shared" si="18"/>
        <v>34401</v>
      </c>
      <c r="E16" s="334">
        <f t="shared" si="18"/>
        <v>36268</v>
      </c>
      <c r="F16" s="334">
        <f t="shared" si="18"/>
        <v>31555</v>
      </c>
      <c r="G16" s="301">
        <f t="shared" si="18"/>
        <v>125453</v>
      </c>
      <c r="I16" s="355">
        <f t="shared" si="18"/>
        <v>31283</v>
      </c>
      <c r="J16" s="334">
        <f t="shared" si="18"/>
        <v>42200</v>
      </c>
      <c r="K16" s="334">
        <f t="shared" si="18"/>
        <v>41925</v>
      </c>
      <c r="L16" s="334">
        <f t="shared" si="18"/>
        <v>32080</v>
      </c>
      <c r="M16" s="301">
        <f t="shared" si="18"/>
        <v>147488</v>
      </c>
      <c r="O16" s="355">
        <f t="shared" si="18"/>
        <v>23300</v>
      </c>
      <c r="P16" s="334">
        <f t="shared" si="18"/>
        <v>38889</v>
      </c>
      <c r="Q16" s="334">
        <f t="shared" si="18"/>
        <v>35000</v>
      </c>
      <c r="R16" s="334">
        <f t="shared" si="18"/>
        <v>29322</v>
      </c>
      <c r="S16" s="301">
        <f t="shared" si="18"/>
        <v>126511</v>
      </c>
      <c r="U16" s="355">
        <f t="shared" si="18"/>
        <v>24746</v>
      </c>
      <c r="V16" s="334">
        <f t="shared" si="18"/>
        <v>12545</v>
      </c>
      <c r="W16" s="334">
        <f t="shared" si="18"/>
        <v>15144</v>
      </c>
      <c r="X16" s="334">
        <f t="shared" si="18"/>
        <v>16045</v>
      </c>
      <c r="Y16" s="301">
        <f t="shared" si="18"/>
        <v>68480</v>
      </c>
      <c r="AA16" s="355">
        <f t="shared" si="18"/>
        <v>35242</v>
      </c>
      <c r="AB16" s="334">
        <f t="shared" si="18"/>
        <v>66671</v>
      </c>
      <c r="AC16" s="334">
        <f t="shared" si="18"/>
        <v>76196</v>
      </c>
      <c r="AD16" s="334">
        <f t="shared" si="18"/>
        <v>74644</v>
      </c>
      <c r="AE16" s="301">
        <f t="shared" si="18"/>
        <v>252753</v>
      </c>
      <c r="AG16" s="355">
        <f t="shared" si="18"/>
        <v>77083</v>
      </c>
      <c r="AH16" s="334">
        <f t="shared" si="18"/>
        <v>109360</v>
      </c>
      <c r="AI16" s="334">
        <f t="shared" si="18"/>
        <v>116669</v>
      </c>
      <c r="AJ16" s="334">
        <f t="shared" si="18"/>
        <v>79105</v>
      </c>
      <c r="AK16" s="511">
        <f t="shared" si="18"/>
        <v>382217</v>
      </c>
      <c r="AL16" s="540"/>
      <c r="AM16" s="334">
        <f>AM12*AM17</f>
        <v>59621.182912886354</v>
      </c>
      <c r="AN16" s="334">
        <f>AN12*AN17</f>
        <v>93805.20263993369</v>
      </c>
      <c r="AO16" s="334">
        <f t="shared" ref="AO16:BO16" si="19">AO12*AO17</f>
        <v>97166.523779760915</v>
      </c>
      <c r="AP16" s="334">
        <f t="shared" si="19"/>
        <v>69954.063085637259</v>
      </c>
      <c r="AQ16" s="301">
        <f t="shared" si="19"/>
        <v>320665.4646911071</v>
      </c>
      <c r="AS16" s="355">
        <f t="shared" si="19"/>
        <v>63621.990479938671</v>
      </c>
      <c r="AT16" s="334">
        <f t="shared" si="19"/>
        <v>84397.625675940188</v>
      </c>
      <c r="AU16" s="334">
        <f t="shared" si="19"/>
        <v>86840.631992771465</v>
      </c>
      <c r="AV16" s="334">
        <f t="shared" si="19"/>
        <v>74995.470525163953</v>
      </c>
      <c r="AW16" s="301">
        <f t="shared" si="19"/>
        <v>308110.10347317049</v>
      </c>
      <c r="AY16" s="355">
        <f t="shared" si="19"/>
        <v>72545.771089477581</v>
      </c>
      <c r="AZ16" s="334">
        <f t="shared" si="19"/>
        <v>84571.695103450329</v>
      </c>
      <c r="BA16" s="334">
        <f t="shared" si="19"/>
        <v>89102.053012995835</v>
      </c>
      <c r="BB16" s="334">
        <f t="shared" si="19"/>
        <v>89803.560784176778</v>
      </c>
      <c r="BC16" s="301">
        <f t="shared" si="19"/>
        <v>333458.35156360472</v>
      </c>
      <c r="BE16" s="355">
        <f t="shared" si="19"/>
        <v>88083.959232415378</v>
      </c>
      <c r="BF16" s="334">
        <f>BF12*BF17</f>
        <v>86031.053776557019</v>
      </c>
      <c r="BG16" s="334">
        <f t="shared" si="19"/>
        <v>94906.904918091954</v>
      </c>
      <c r="BH16" s="334">
        <f t="shared" si="19"/>
        <v>111817.79166434388</v>
      </c>
      <c r="BI16" s="301">
        <f t="shared" si="19"/>
        <v>429759.66590574989</v>
      </c>
      <c r="BK16" s="355">
        <f t="shared" si="19"/>
        <v>112893.63073807288</v>
      </c>
      <c r="BL16" s="334">
        <f t="shared" si="19"/>
        <v>102230.81280784983</v>
      </c>
      <c r="BM16" s="334">
        <f t="shared" si="19"/>
        <v>114825.5625005148</v>
      </c>
      <c r="BN16" s="334">
        <f t="shared" si="19"/>
        <v>131865.21138882439</v>
      </c>
      <c r="BO16" s="301">
        <f t="shared" si="19"/>
        <v>493078.09620587504</v>
      </c>
    </row>
    <row r="17" spans="1:67" ht="15">
      <c r="A17" s="630" t="s">
        <v>106</v>
      </c>
      <c r="C17" s="356">
        <f t="shared" ref="C17:AK17" si="20">C16/C12</f>
        <v>0.1804516534992659</v>
      </c>
      <c r="D17" s="335">
        <f t="shared" si="20"/>
        <v>0.24252016242738705</v>
      </c>
      <c r="E17" s="335">
        <f t="shared" si="20"/>
        <v>0.25274924387082387</v>
      </c>
      <c r="F17" s="335">
        <f t="shared" si="20"/>
        <v>0.23858489781413741</v>
      </c>
      <c r="G17" s="302">
        <f t="shared" si="20"/>
        <v>0.2296294533686723</v>
      </c>
      <c r="I17" s="356">
        <f t="shared" si="20"/>
        <v>0.2405292982415673</v>
      </c>
      <c r="J17" s="335">
        <f t="shared" si="20"/>
        <v>0.27697376625251868</v>
      </c>
      <c r="K17" s="335">
        <f t="shared" si="20"/>
        <v>0.26535146014506511</v>
      </c>
      <c r="L17" s="335">
        <f t="shared" si="20"/>
        <v>0.21294956387823108</v>
      </c>
      <c r="M17" s="302">
        <f t="shared" si="20"/>
        <v>0.24952966176251642</v>
      </c>
      <c r="O17" s="356">
        <f t="shared" si="20"/>
        <v>0.18762934748471988</v>
      </c>
      <c r="P17" s="335">
        <f t="shared" si="20"/>
        <v>0.25319513259067794</v>
      </c>
      <c r="Q17" s="335">
        <f t="shared" si="20"/>
        <v>0.23064402401333781</v>
      </c>
      <c r="R17" s="335">
        <f t="shared" si="20"/>
        <v>0.20976349562903296</v>
      </c>
      <c r="S17" s="302">
        <f t="shared" si="20"/>
        <v>0.22221851402314033</v>
      </c>
      <c r="U17" s="356">
        <f t="shared" si="20"/>
        <v>0.17841898829093847</v>
      </c>
      <c r="V17" s="335">
        <f t="shared" si="20"/>
        <v>0.17384736907747952</v>
      </c>
      <c r="W17" s="335">
        <f t="shared" si="20"/>
        <v>0.15447071543687141</v>
      </c>
      <c r="X17" s="335">
        <f t="shared" si="20"/>
        <v>0.14504872624708456</v>
      </c>
      <c r="Y17" s="302">
        <f t="shared" si="20"/>
        <v>0.16323689611525746</v>
      </c>
      <c r="AA17" s="356">
        <f t="shared" si="20"/>
        <v>0.24231298129812981</v>
      </c>
      <c r="AB17" s="335">
        <f t="shared" si="20"/>
        <v>0.34743479507022068</v>
      </c>
      <c r="AC17" s="335">
        <f t="shared" si="20"/>
        <v>0.36822113758275743</v>
      </c>
      <c r="AD17" s="335">
        <f t="shared" si="20"/>
        <v>0.34997796344745452</v>
      </c>
      <c r="AE17" s="302">
        <f t="shared" si="20"/>
        <v>0.33364662522589356</v>
      </c>
      <c r="AG17" s="356">
        <f t="shared" si="20"/>
        <v>0.33950089848842535</v>
      </c>
      <c r="AH17" s="335">
        <f t="shared" si="20"/>
        <v>0.40314226837567141</v>
      </c>
      <c r="AI17" s="335">
        <f t="shared" si="20"/>
        <v>0.40331379029024184</v>
      </c>
      <c r="AJ17" s="335">
        <f t="shared" si="20"/>
        <v>0.32179003205493273</v>
      </c>
      <c r="AK17" s="512">
        <f t="shared" si="20"/>
        <v>0.36985604124553306</v>
      </c>
      <c r="AL17" s="540"/>
      <c r="AM17" s="330">
        <f>AVERAGE(AG17,AA17,O17,I17)</f>
        <v>0.25249313137821056</v>
      </c>
      <c r="AN17" s="330">
        <f>AVERAGE(AH17,AB17,P17,J17)</f>
        <v>0.32018649057227222</v>
      </c>
      <c r="AO17" s="330">
        <f>AVERAGE(AI17,AC17,Q17,K17)</f>
        <v>0.31688260300785054</v>
      </c>
      <c r="AP17" s="330">
        <f>AVERAGE(AJ17,AD17,R17,L17)</f>
        <v>0.27362026375241283</v>
      </c>
      <c r="AQ17" s="297">
        <f>AVERAGE(AK17,AE17,S17,M17)</f>
        <v>0.29381271056427083</v>
      </c>
      <c r="AS17" s="349">
        <f>AVERAGE(AM17,AG17,U17,O17,I17,AA17)</f>
        <v>0.24014744086366521</v>
      </c>
      <c r="AT17" s="330">
        <f>AVERAGE(AN17,AH17,V17,P17,J17)</f>
        <v>0.28546900537372394</v>
      </c>
      <c r="AU17" s="330">
        <f>AVERAGE(AO17,AI17,W17,Q17,K17)</f>
        <v>0.27413251857867332</v>
      </c>
      <c r="AV17" s="330">
        <f>AVERAGE(AP17,AJ17,X17,R17,L17,AD17)</f>
        <v>0.25219167416819144</v>
      </c>
      <c r="AW17" s="726">
        <f>AVERAGE(AQ17,AK17,Y17,S17)</f>
        <v>0.26228104048705042</v>
      </c>
      <c r="AY17" s="368">
        <f>AVERAGE(AS17,AM17,AA17,U17,AG17,O17)</f>
        <v>0.24008379796734824</v>
      </c>
      <c r="AZ17" s="330">
        <f>AVERAGE(AT17,AN17,AH17,V17,P17)</f>
        <v>0.28716805319796501</v>
      </c>
      <c r="BA17" s="330">
        <f>AVERAGE(AU17,AO17,AI17,W17,Q17)</f>
        <v>0.27588873026539495</v>
      </c>
      <c r="BB17" s="369">
        <f>AVERAGE(AV17,AP17,AD17,X17,AJ17,R17)</f>
        <v>0.25873202588318484</v>
      </c>
      <c r="BC17" s="370">
        <f>AVERAGE(AW17,AQ17,AE17,Y17)</f>
        <v>0.2632443180981181</v>
      </c>
      <c r="BE17" s="349">
        <f>AVERAGE(AY17,AS17,AG17,AA17,AM17,U17)</f>
        <v>0.2488262063811196</v>
      </c>
      <c r="BF17" s="330">
        <f>AVERAGE(AZ17,AT17,AN17,AH17,V17)</f>
        <v>0.2939626373194224</v>
      </c>
      <c r="BG17" s="330">
        <f>AVERAGE(BA17,AU17,AO17,AI17,W17)</f>
        <v>0.2849376715158064</v>
      </c>
      <c r="BH17" s="330">
        <f>AVERAGE(BB17,AV17,AJ17,AD17,AP17,X17)</f>
        <v>0.26689344759221012</v>
      </c>
      <c r="BI17" s="370">
        <f>AVERAGE(BC17,AW17,AK17,AE17)</f>
        <v>0.30725700626414876</v>
      </c>
      <c r="BK17" s="349">
        <f>AVERAGE(BE17,AY17,AS17,AM17,AG17)</f>
        <v>0.26421029501575377</v>
      </c>
      <c r="BL17" s="330">
        <f>AVERAGE(BF17,AZ17,AT17,AN17,AH17)</f>
        <v>0.31798569096781099</v>
      </c>
      <c r="BM17" s="330">
        <f>AVERAGE(BG17,BA17,AU17,AO17,AI17)</f>
        <v>0.31103106273159342</v>
      </c>
      <c r="BN17" s="330">
        <f>AVERAGE(BH17,BB17,AV17,AP17,AJ17)</f>
        <v>0.2746454886901864</v>
      </c>
      <c r="BO17" s="370">
        <f>AVERAGE(BI17,BC17,AQ17,AK17)</f>
        <v>0.30854251904301766</v>
      </c>
    </row>
    <row r="18" spans="1:67" ht="15">
      <c r="A18" s="457"/>
      <c r="C18" s="356"/>
      <c r="D18" s="335"/>
      <c r="E18" s="335"/>
      <c r="F18" s="335"/>
      <c r="G18" s="302"/>
      <c r="I18" s="356"/>
      <c r="J18" s="335"/>
      <c r="K18" s="335"/>
      <c r="L18" s="335"/>
      <c r="M18" s="302"/>
      <c r="O18" s="356"/>
      <c r="P18" s="335"/>
      <c r="Q18" s="335"/>
      <c r="R18" s="335"/>
      <c r="S18" s="302"/>
      <c r="U18" s="356"/>
      <c r="V18" s="335"/>
      <c r="W18" s="335"/>
      <c r="X18" s="335"/>
      <c r="Y18" s="302"/>
      <c r="AA18" s="356"/>
      <c r="AB18" s="335"/>
      <c r="AC18" s="335"/>
      <c r="AD18" s="335"/>
      <c r="AE18" s="302"/>
      <c r="AG18" s="356"/>
      <c r="AH18" s="335"/>
      <c r="AI18" s="335"/>
      <c r="AJ18" s="335"/>
      <c r="AK18" s="512"/>
      <c r="AL18" s="540"/>
      <c r="AM18" s="335"/>
      <c r="AN18" s="335"/>
      <c r="AO18" s="335"/>
      <c r="AP18" s="335"/>
      <c r="AQ18" s="302"/>
      <c r="AS18" s="356"/>
      <c r="AT18" s="335"/>
      <c r="AU18" s="335"/>
      <c r="AV18" s="335"/>
      <c r="AW18" s="302"/>
      <c r="AY18" s="356"/>
      <c r="AZ18" s="335"/>
      <c r="BA18" s="335"/>
      <c r="BB18" s="335"/>
      <c r="BC18" s="302"/>
      <c r="BE18" s="356"/>
      <c r="BF18" s="335"/>
      <c r="BG18" s="335"/>
      <c r="BH18" s="335"/>
      <c r="BI18" s="302"/>
      <c r="BK18" s="356"/>
      <c r="BL18" s="335"/>
      <c r="BM18" s="335"/>
      <c r="BN18" s="335"/>
      <c r="BO18" s="302"/>
    </row>
    <row r="19" spans="1:67">
      <c r="A19" s="458" t="s">
        <v>3</v>
      </c>
      <c r="C19" s="357">
        <f t="shared" ref="C19:AN19" si="21">C5+C12</f>
        <v>688941</v>
      </c>
      <c r="D19" s="336">
        <f t="shared" si="21"/>
        <v>752788</v>
      </c>
      <c r="E19" s="336">
        <f t="shared" si="21"/>
        <v>755846</v>
      </c>
      <c r="F19" s="336">
        <f t="shared" si="21"/>
        <v>747403</v>
      </c>
      <c r="G19" s="303">
        <f t="shared" si="21"/>
        <v>2944978</v>
      </c>
      <c r="I19" s="357">
        <f t="shared" si="21"/>
        <v>749778</v>
      </c>
      <c r="J19" s="336">
        <f t="shared" si="21"/>
        <v>849140</v>
      </c>
      <c r="K19" s="336">
        <f t="shared" si="21"/>
        <v>843181</v>
      </c>
      <c r="L19" s="336">
        <f t="shared" si="21"/>
        <v>858204</v>
      </c>
      <c r="M19" s="303">
        <f t="shared" si="21"/>
        <v>3300303</v>
      </c>
      <c r="O19" s="357">
        <f t="shared" si="21"/>
        <v>780839</v>
      </c>
      <c r="P19" s="336">
        <f t="shared" si="21"/>
        <v>868678</v>
      </c>
      <c r="Q19" s="336">
        <f t="shared" si="21"/>
        <v>891668</v>
      </c>
      <c r="R19" s="336">
        <f t="shared" si="21"/>
        <v>871005</v>
      </c>
      <c r="S19" s="303">
        <f t="shared" si="21"/>
        <v>3412190</v>
      </c>
      <c r="U19" s="357">
        <f t="shared" si="21"/>
        <v>858563</v>
      </c>
      <c r="V19" s="336">
        <f t="shared" si="21"/>
        <v>710000</v>
      </c>
      <c r="W19" s="336">
        <f t="shared" si="21"/>
        <v>779344</v>
      </c>
      <c r="X19" s="336">
        <f t="shared" si="21"/>
        <v>796190</v>
      </c>
      <c r="Y19" s="303">
        <f t="shared" si="21"/>
        <v>3144097</v>
      </c>
      <c r="AA19" s="357">
        <f t="shared" si="21"/>
        <v>808148</v>
      </c>
      <c r="AB19" s="336">
        <f t="shared" si="21"/>
        <v>926458</v>
      </c>
      <c r="AC19" s="336">
        <f t="shared" si="21"/>
        <v>951479</v>
      </c>
      <c r="AD19" s="336">
        <f t="shared" si="21"/>
        <v>1119481</v>
      </c>
      <c r="AE19" s="303">
        <f t="shared" si="21"/>
        <v>3805566</v>
      </c>
      <c r="AG19" s="357">
        <f t="shared" si="21"/>
        <v>1169109</v>
      </c>
      <c r="AH19" s="336">
        <f t="shared" si="21"/>
        <v>1356312</v>
      </c>
      <c r="AI19" s="336">
        <f t="shared" si="21"/>
        <v>1363086</v>
      </c>
      <c r="AJ19" s="336">
        <f t="shared" si="21"/>
        <v>1278098</v>
      </c>
      <c r="AK19" s="513">
        <f t="shared" si="21"/>
        <v>5166605</v>
      </c>
      <c r="AL19" s="540"/>
      <c r="AM19" s="336">
        <f t="shared" si="21"/>
        <v>1253555.8</v>
      </c>
      <c r="AN19" s="336">
        <f t="shared" si="21"/>
        <v>1508218.6800000002</v>
      </c>
      <c r="AO19" s="336">
        <f t="shared" ref="AO19:BO19" si="22">AO5+AO12</f>
        <v>1487823.56</v>
      </c>
      <c r="AP19" s="336">
        <f t="shared" si="22"/>
        <v>1370512.7200000002</v>
      </c>
      <c r="AQ19" s="303">
        <f t="shared" si="22"/>
        <v>5620110.7600000007</v>
      </c>
      <c r="AS19" s="357">
        <f t="shared" si="22"/>
        <v>1398377.4897152241</v>
      </c>
      <c r="AT19" s="336">
        <f t="shared" si="22"/>
        <v>1674450.3524959721</v>
      </c>
      <c r="AU19" s="336">
        <f t="shared" si="22"/>
        <v>1646540.907583938</v>
      </c>
      <c r="AV19" s="336">
        <f t="shared" si="22"/>
        <v>1535265.4309081752</v>
      </c>
      <c r="AW19" s="303">
        <f t="shared" si="22"/>
        <v>6254634.1807033103</v>
      </c>
      <c r="AY19" s="357">
        <f t="shared" si="22"/>
        <v>1578981.3158857988</v>
      </c>
      <c r="AZ19" s="336">
        <f t="shared" si="22"/>
        <v>1887114.1780611612</v>
      </c>
      <c r="BA19" s="336">
        <f t="shared" si="22"/>
        <v>1833998.1269566789</v>
      </c>
      <c r="BB19" s="336">
        <f t="shared" si="22"/>
        <v>1730773.5620503875</v>
      </c>
      <c r="BC19" s="303">
        <f t="shared" si="22"/>
        <v>7030867.1829540255</v>
      </c>
      <c r="BE19" s="357">
        <f t="shared" si="22"/>
        <v>1800026.9148154163</v>
      </c>
      <c r="BF19" s="336">
        <f t="shared" si="22"/>
        <v>2216032.9243710712</v>
      </c>
      <c r="BG19" s="336">
        <f t="shared" si="22"/>
        <v>2115240.3557159258</v>
      </c>
      <c r="BH19" s="336">
        <f t="shared" si="22"/>
        <v>2015473.6092328182</v>
      </c>
      <c r="BI19" s="303">
        <f t="shared" si="22"/>
        <v>8146773.8041352322</v>
      </c>
      <c r="BK19" s="357">
        <f t="shared" si="22"/>
        <v>2126250.5600686967</v>
      </c>
      <c r="BL19" s="336">
        <f t="shared" si="22"/>
        <v>2665881.3953973977</v>
      </c>
      <c r="BM19" s="336">
        <f t="shared" si="22"/>
        <v>2501981.6670886409</v>
      </c>
      <c r="BN19" s="336">
        <f t="shared" si="22"/>
        <v>2268566.3075585645</v>
      </c>
      <c r="BO19" s="303">
        <f t="shared" si="22"/>
        <v>9562679.9301133007</v>
      </c>
    </row>
    <row r="20" spans="1:67" ht="15.75" thickBot="1">
      <c r="A20" s="459" t="s">
        <v>83</v>
      </c>
      <c r="C20" s="358"/>
      <c r="D20" s="359"/>
      <c r="E20" s="359"/>
      <c r="F20" s="359"/>
      <c r="G20" s="360"/>
      <c r="I20" s="358">
        <f>I19/C19-1</f>
        <v>8.8305094340444201E-2</v>
      </c>
      <c r="J20" s="359">
        <f>J19/D19-1</f>
        <v>0.12799353868552643</v>
      </c>
      <c r="K20" s="359">
        <f>K19/E19-1</f>
        <v>0.11554602392550861</v>
      </c>
      <c r="L20" s="359">
        <f>L19/F19-1</f>
        <v>0.148248000074926</v>
      </c>
      <c r="M20" s="360">
        <f>M19/G19-1</f>
        <v>0.12065455157899319</v>
      </c>
      <c r="O20" s="358">
        <f>O19/I19-1</f>
        <v>4.1426929037661875E-2</v>
      </c>
      <c r="P20" s="359">
        <f>P19/J19-1</f>
        <v>2.3009162211178324E-2</v>
      </c>
      <c r="Q20" s="359">
        <f>Q19/K19-1</f>
        <v>5.7504853643523646E-2</v>
      </c>
      <c r="R20" s="359">
        <f>R19/L19-1</f>
        <v>1.4916033949969876E-2</v>
      </c>
      <c r="S20" s="360">
        <f>S19/M19-1</f>
        <v>3.3902038691598912E-2</v>
      </c>
      <c r="U20" s="358">
        <f>U19/O19-1</f>
        <v>9.9539085522111437E-2</v>
      </c>
      <c r="V20" s="359">
        <f>V19/P19-1</f>
        <v>-0.18266607419550163</v>
      </c>
      <c r="W20" s="359">
        <f>W19/Q19-1</f>
        <v>-0.12597065275416408</v>
      </c>
      <c r="X20" s="359">
        <f>X19/R19-1</f>
        <v>-8.5895029305227855E-2</v>
      </c>
      <c r="Y20" s="360">
        <f>Y19/S19-1</f>
        <v>-7.8569188702856563E-2</v>
      </c>
      <c r="AA20" s="358">
        <f>AA19/U19-1</f>
        <v>-5.8720210398072181E-2</v>
      </c>
      <c r="AB20" s="359">
        <f>AB19/V19-1</f>
        <v>0.30487042253521124</v>
      </c>
      <c r="AC20" s="359">
        <f>AC19/W19-1</f>
        <v>0.22087165616210558</v>
      </c>
      <c r="AD20" s="359">
        <f>AD19/X19-1</f>
        <v>0.40604755146384663</v>
      </c>
      <c r="AE20" s="360">
        <f>AE19/Y19-1</f>
        <v>0.21038441244020145</v>
      </c>
      <c r="AG20" s="358">
        <f>AG19/AA19-1</f>
        <v>0.44665209837801978</v>
      </c>
      <c r="AH20" s="359">
        <f>AH19/AB19-1</f>
        <v>0.46397570100317553</v>
      </c>
      <c r="AI20" s="359">
        <f>AI19/AC19-1</f>
        <v>0.43259704102770535</v>
      </c>
      <c r="AJ20" s="359">
        <f>AJ19/AD19-1</f>
        <v>0.14168797862580962</v>
      </c>
      <c r="AK20" s="514">
        <f>AK19/AE19-1</f>
        <v>0.35764430310760598</v>
      </c>
      <c r="AL20" s="540"/>
      <c r="AM20" s="359">
        <f>AM19/AG19-1</f>
        <v>7.2231759399679518E-2</v>
      </c>
      <c r="AN20" s="359">
        <f>AN19/AH19-1</f>
        <v>0.11199980535452037</v>
      </c>
      <c r="AO20" s="359">
        <f>AO19/AI19-1</f>
        <v>9.1511144564613067E-2</v>
      </c>
      <c r="AP20" s="359">
        <f>AP19/AJ19-1</f>
        <v>7.230644285492982E-2</v>
      </c>
      <c r="AQ20" s="360">
        <f>AQ19/AK19-1</f>
        <v>8.7776356040378589E-2</v>
      </c>
      <c r="AS20" s="358">
        <f>AS19/AM19-1</f>
        <v>0.11552871417070065</v>
      </c>
      <c r="AT20" s="359">
        <f>AT19/AN19-1</f>
        <v>0.1102172216140247</v>
      </c>
      <c r="AU20" s="359">
        <f>AU19/AO19-1</f>
        <v>0.10667753344619557</v>
      </c>
      <c r="AV20" s="359">
        <f>AV19/AP19-1</f>
        <v>0.12021246392238871</v>
      </c>
      <c r="AW20" s="360">
        <f>AW19/AQ19-1</f>
        <v>0.11290229815743169</v>
      </c>
      <c r="AY20" s="358">
        <f>AY19/AS19-1</f>
        <v>0.12915241234850972</v>
      </c>
      <c r="AZ20" s="359">
        <f>AZ19/AT19-1</f>
        <v>0.12700515440675075</v>
      </c>
      <c r="BA20" s="359">
        <f>BA19/AU19-1</f>
        <v>0.11384911149751353</v>
      </c>
      <c r="BB20" s="359">
        <f>BB19/AV19-1</f>
        <v>0.12734484031634907</v>
      </c>
      <c r="BC20" s="360">
        <f>BC19/AW19-1</f>
        <v>0.12410526016781853</v>
      </c>
      <c r="BE20" s="358">
        <f>BE19/AY19-1</f>
        <v>0.1399925361406904</v>
      </c>
      <c r="BF20" s="359">
        <f>BF19/AZ19-1</f>
        <v>0.17429721536396081</v>
      </c>
      <c r="BG20" s="359">
        <f>BG19/BA19-1</f>
        <v>0.15334924535933836</v>
      </c>
      <c r="BH20" s="359">
        <f>BH19/BB19-1</f>
        <v>0.16449294894772737</v>
      </c>
      <c r="BI20" s="360">
        <f>BI19/BC19-1</f>
        <v>0.15871536072913806</v>
      </c>
      <c r="BK20" s="358">
        <f>BK19/BE19-1</f>
        <v>0.18123264856110932</v>
      </c>
      <c r="BL20" s="359">
        <f>BL19/BF19-1</f>
        <v>0.20299719651232051</v>
      </c>
      <c r="BM20" s="359">
        <f>BM19/BG19-1</f>
        <v>0.18283563393996349</v>
      </c>
      <c r="BN20" s="359">
        <f>BN19/BH19-1</f>
        <v>0.12557480145923861</v>
      </c>
      <c r="BO20" s="360">
        <f>BO19/BI19-1</f>
        <v>0.17379961197147353</v>
      </c>
    </row>
    <row r="21" spans="1:67" ht="17.25" thickBot="1">
      <c r="A21" s="3"/>
      <c r="C21" s="441"/>
      <c r="D21" s="2"/>
      <c r="E21" s="2"/>
      <c r="G21" s="440"/>
      <c r="I21" s="2"/>
      <c r="J21" s="2"/>
      <c r="K21" s="2"/>
      <c r="M21" s="2"/>
      <c r="O21" s="2"/>
      <c r="P21" s="2"/>
      <c r="Q21" s="2"/>
      <c r="S21" s="2"/>
      <c r="U21" s="2"/>
      <c r="V21" s="2"/>
      <c r="W21" s="2"/>
      <c r="Y21" s="2"/>
      <c r="AA21" s="2"/>
      <c r="AB21" s="2"/>
      <c r="AC21" s="2"/>
      <c r="AE21" s="2"/>
      <c r="AG21" s="2"/>
      <c r="AH21" s="2"/>
      <c r="AI21" s="2"/>
      <c r="AK21" s="2"/>
      <c r="AL21" s="504"/>
    </row>
    <row r="22" spans="1:67" ht="17.25" thickBot="1">
      <c r="A22" s="320" t="s">
        <v>13</v>
      </c>
      <c r="C22" s="346"/>
      <c r="D22" s="321"/>
      <c r="E22" s="321"/>
      <c r="F22" s="322"/>
      <c r="G22" s="323"/>
      <c r="I22" s="361"/>
      <c r="J22" s="362"/>
      <c r="K22" s="362"/>
      <c r="L22" s="363"/>
      <c r="M22" s="364"/>
      <c r="O22" s="361"/>
      <c r="P22" s="362"/>
      <c r="Q22" s="362"/>
      <c r="R22" s="363"/>
      <c r="S22" s="364"/>
      <c r="U22" s="361"/>
      <c r="V22" s="362"/>
      <c r="W22" s="362"/>
      <c r="X22" s="363"/>
      <c r="Y22" s="364"/>
      <c r="AA22" s="361"/>
      <c r="AB22" s="362"/>
      <c r="AC22" s="362"/>
      <c r="AD22" s="363"/>
      <c r="AE22" s="364"/>
      <c r="AG22" s="361"/>
      <c r="AH22" s="362"/>
      <c r="AI22" s="362"/>
      <c r="AJ22" s="363"/>
      <c r="AK22" s="364"/>
      <c r="AL22" s="504"/>
      <c r="AM22" s="382"/>
      <c r="AN22" s="363"/>
      <c r="AO22" s="363"/>
      <c r="AP22" s="363"/>
      <c r="AQ22" s="383"/>
      <c r="AS22" s="382"/>
      <c r="AT22" s="363"/>
      <c r="AU22" s="363"/>
      <c r="AV22" s="363"/>
      <c r="AW22" s="383"/>
      <c r="AY22" s="382"/>
      <c r="AZ22" s="363"/>
      <c r="BA22" s="363"/>
      <c r="BB22" s="363"/>
      <c r="BC22" s="383"/>
      <c r="BE22" s="382"/>
      <c r="BF22" s="363"/>
      <c r="BG22" s="363"/>
      <c r="BH22" s="363"/>
      <c r="BI22" s="383"/>
      <c r="BK22" s="382"/>
      <c r="BL22" s="363"/>
      <c r="BM22" s="363"/>
      <c r="BN22" s="363"/>
      <c r="BO22" s="383"/>
    </row>
    <row r="23" spans="1:67" ht="15">
      <c r="A23" s="456" t="s">
        <v>3</v>
      </c>
      <c r="C23" s="347">
        <f t="shared" ref="C23:AN23" si="23">C19</f>
        <v>688941</v>
      </c>
      <c r="D23" s="9">
        <f t="shared" si="23"/>
        <v>752788</v>
      </c>
      <c r="E23" s="9">
        <f t="shared" si="23"/>
        <v>755846</v>
      </c>
      <c r="F23" s="9">
        <f t="shared" si="23"/>
        <v>747403</v>
      </c>
      <c r="G23" s="296">
        <f t="shared" si="23"/>
        <v>2944978</v>
      </c>
      <c r="I23" s="347">
        <f t="shared" si="23"/>
        <v>749778</v>
      </c>
      <c r="J23" s="9">
        <f t="shared" si="23"/>
        <v>849140</v>
      </c>
      <c r="K23" s="9">
        <f t="shared" si="23"/>
        <v>843181</v>
      </c>
      <c r="L23" s="9">
        <f t="shared" si="23"/>
        <v>858204</v>
      </c>
      <c r="M23" s="296">
        <f t="shared" si="23"/>
        <v>3300303</v>
      </c>
      <c r="O23" s="347">
        <f t="shared" si="23"/>
        <v>780839</v>
      </c>
      <c r="P23" s="9">
        <f t="shared" si="23"/>
        <v>868678</v>
      </c>
      <c r="Q23" s="9">
        <f t="shared" si="23"/>
        <v>891668</v>
      </c>
      <c r="R23" s="9">
        <f t="shared" si="23"/>
        <v>871005</v>
      </c>
      <c r="S23" s="296">
        <f t="shared" si="23"/>
        <v>3412190</v>
      </c>
      <c r="U23" s="347">
        <f t="shared" si="23"/>
        <v>858563</v>
      </c>
      <c r="V23" s="9">
        <f t="shared" si="23"/>
        <v>710000</v>
      </c>
      <c r="W23" s="9">
        <f t="shared" si="23"/>
        <v>779344</v>
      </c>
      <c r="X23" s="9">
        <f t="shared" si="23"/>
        <v>796190</v>
      </c>
      <c r="Y23" s="296">
        <f t="shared" si="23"/>
        <v>3144097</v>
      </c>
      <c r="AA23" s="347">
        <f t="shared" si="23"/>
        <v>808148</v>
      </c>
      <c r="AB23" s="9">
        <f t="shared" si="23"/>
        <v>926458</v>
      </c>
      <c r="AC23" s="9">
        <f t="shared" si="23"/>
        <v>951479</v>
      </c>
      <c r="AD23" s="9">
        <f t="shared" si="23"/>
        <v>1119481</v>
      </c>
      <c r="AE23" s="296">
        <f t="shared" si="23"/>
        <v>3805566</v>
      </c>
      <c r="AG23" s="347">
        <f t="shared" si="23"/>
        <v>1169109</v>
      </c>
      <c r="AH23" s="9">
        <f t="shared" si="23"/>
        <v>1356312</v>
      </c>
      <c r="AI23" s="9">
        <f t="shared" si="23"/>
        <v>1363086</v>
      </c>
      <c r="AJ23" s="9">
        <f t="shared" si="23"/>
        <v>1278098</v>
      </c>
      <c r="AK23" s="506">
        <f>AK19</f>
        <v>5166605</v>
      </c>
      <c r="AL23" s="540"/>
      <c r="AM23" s="9">
        <f>AM19</f>
        <v>1253555.8</v>
      </c>
      <c r="AN23" s="9">
        <f t="shared" si="23"/>
        <v>1508218.6800000002</v>
      </c>
      <c r="AO23" s="9">
        <f t="shared" ref="AO23:BO23" si="24">AO19</f>
        <v>1487823.56</v>
      </c>
      <c r="AP23" s="9">
        <f t="shared" si="24"/>
        <v>1370512.7200000002</v>
      </c>
      <c r="AQ23" s="296">
        <f t="shared" si="24"/>
        <v>5620110.7600000007</v>
      </c>
      <c r="AS23" s="347">
        <f t="shared" si="24"/>
        <v>1398377.4897152241</v>
      </c>
      <c r="AT23" s="9">
        <f t="shared" si="24"/>
        <v>1674450.3524959721</v>
      </c>
      <c r="AU23" s="9">
        <f t="shared" si="24"/>
        <v>1646540.907583938</v>
      </c>
      <c r="AV23" s="9">
        <f t="shared" si="24"/>
        <v>1535265.4309081752</v>
      </c>
      <c r="AW23" s="296">
        <f t="shared" si="24"/>
        <v>6254634.1807033103</v>
      </c>
      <c r="AY23" s="347">
        <f t="shared" si="24"/>
        <v>1578981.3158857988</v>
      </c>
      <c r="AZ23" s="9">
        <f t="shared" si="24"/>
        <v>1887114.1780611612</v>
      </c>
      <c r="BA23" s="9">
        <f t="shared" si="24"/>
        <v>1833998.1269566789</v>
      </c>
      <c r="BB23" s="9">
        <f t="shared" si="24"/>
        <v>1730773.5620503875</v>
      </c>
      <c r="BC23" s="296">
        <f t="shared" si="24"/>
        <v>7030867.1829540255</v>
      </c>
      <c r="BE23" s="347">
        <f t="shared" si="24"/>
        <v>1800026.9148154163</v>
      </c>
      <c r="BF23" s="9">
        <f t="shared" si="24"/>
        <v>2216032.9243710712</v>
      </c>
      <c r="BG23" s="9">
        <f t="shared" si="24"/>
        <v>2115240.3557159258</v>
      </c>
      <c r="BH23" s="9">
        <f t="shared" si="24"/>
        <v>2015473.6092328182</v>
      </c>
      <c r="BI23" s="296">
        <f t="shared" si="24"/>
        <v>8146773.8041352322</v>
      </c>
      <c r="BK23" s="347">
        <f t="shared" si="24"/>
        <v>2126250.5600686967</v>
      </c>
      <c r="BL23" s="9">
        <f t="shared" si="24"/>
        <v>2665881.3953973977</v>
      </c>
      <c r="BM23" s="9">
        <f t="shared" si="24"/>
        <v>2501981.6670886409</v>
      </c>
      <c r="BN23" s="9">
        <f t="shared" si="24"/>
        <v>2268566.3075585645</v>
      </c>
      <c r="BO23" s="296">
        <f t="shared" si="24"/>
        <v>9562679.9301133007</v>
      </c>
    </row>
    <row r="24" spans="1:67" ht="18.75">
      <c r="A24" s="460" t="s">
        <v>81</v>
      </c>
      <c r="C24" s="373">
        <f t="shared" ref="C24:AN24" si="25">C8+C15</f>
        <v>496585</v>
      </c>
      <c r="D24" s="10">
        <f t="shared" si="25"/>
        <v>519803</v>
      </c>
      <c r="E24" s="10">
        <f t="shared" si="25"/>
        <v>519595</v>
      </c>
      <c r="F24" s="10">
        <f t="shared" si="25"/>
        <v>526690</v>
      </c>
      <c r="G24" s="304">
        <f t="shared" si="25"/>
        <v>2062673</v>
      </c>
      <c r="I24" s="373">
        <f t="shared" si="25"/>
        <v>546425</v>
      </c>
      <c r="J24" s="10">
        <f t="shared" si="25"/>
        <v>583584</v>
      </c>
      <c r="K24" s="10">
        <f t="shared" si="25"/>
        <v>580685</v>
      </c>
      <c r="L24" s="10">
        <f t="shared" si="25"/>
        <v>594857</v>
      </c>
      <c r="M24" s="304">
        <f t="shared" si="25"/>
        <v>2305551</v>
      </c>
      <c r="O24" s="373">
        <f t="shared" si="25"/>
        <v>564364</v>
      </c>
      <c r="P24" s="10">
        <f t="shared" si="25"/>
        <v>594933</v>
      </c>
      <c r="Q24" s="10">
        <f t="shared" si="25"/>
        <v>612754</v>
      </c>
      <c r="R24" s="10">
        <f t="shared" si="25"/>
        <v>615768</v>
      </c>
      <c r="S24" s="304">
        <f t="shared" si="25"/>
        <v>2387819</v>
      </c>
      <c r="U24" s="373">
        <f t="shared" si="25"/>
        <v>606666</v>
      </c>
      <c r="V24" s="10">
        <f t="shared" si="25"/>
        <v>470681</v>
      </c>
      <c r="W24" s="10">
        <f t="shared" si="25"/>
        <v>511629</v>
      </c>
      <c r="X24" s="10">
        <f t="shared" si="25"/>
        <v>548775</v>
      </c>
      <c r="Y24" s="304">
        <f t="shared" si="25"/>
        <v>2137751</v>
      </c>
      <c r="AA24" s="373">
        <f t="shared" si="25"/>
        <v>560536</v>
      </c>
      <c r="AB24" s="10">
        <f t="shared" si="25"/>
        <v>617886</v>
      </c>
      <c r="AC24" s="10">
        <f t="shared" si="25"/>
        <v>639232</v>
      </c>
      <c r="AD24" s="10">
        <f t="shared" si="25"/>
        <v>792183</v>
      </c>
      <c r="AE24" s="304">
        <f t="shared" si="25"/>
        <v>2609837</v>
      </c>
      <c r="AG24" s="373">
        <f t="shared" si="25"/>
        <v>843389</v>
      </c>
      <c r="AH24" s="10">
        <f t="shared" si="25"/>
        <v>898469</v>
      </c>
      <c r="AI24" s="10">
        <f t="shared" si="25"/>
        <v>910648</v>
      </c>
      <c r="AJ24" s="10">
        <f t="shared" si="25"/>
        <v>891424</v>
      </c>
      <c r="AK24" s="515">
        <f t="shared" si="25"/>
        <v>3543930</v>
      </c>
      <c r="AL24" s="540"/>
      <c r="AM24" s="10">
        <f>AM8+AM15</f>
        <v>870615.23237071175</v>
      </c>
      <c r="AN24" s="10">
        <f t="shared" si="25"/>
        <v>1047989.5415963291</v>
      </c>
      <c r="AO24" s="10">
        <f t="shared" ref="AO24:BO24" si="26">AO8+AO15</f>
        <v>1034824.7304002299</v>
      </c>
      <c r="AP24" s="10">
        <f t="shared" si="26"/>
        <v>951700.94462547475</v>
      </c>
      <c r="AQ24" s="304">
        <f t="shared" si="26"/>
        <v>3905130.4489927455</v>
      </c>
      <c r="AS24" s="373">
        <f t="shared" si="26"/>
        <v>971283.07568351622</v>
      </c>
      <c r="AT24" s="10">
        <f t="shared" si="26"/>
        <v>1161804.2044326791</v>
      </c>
      <c r="AU24" s="10">
        <f t="shared" si="26"/>
        <v>1143928.5028598676</v>
      </c>
      <c r="AV24" s="10">
        <f t="shared" si="26"/>
        <v>1066734.518288295</v>
      </c>
      <c r="AW24" s="304">
        <f t="shared" si="26"/>
        <v>4343750.3012643578</v>
      </c>
      <c r="AY24" s="373">
        <f t="shared" si="26"/>
        <v>1096899.3488416416</v>
      </c>
      <c r="AZ24" s="10">
        <f t="shared" si="26"/>
        <v>1307149.0044274712</v>
      </c>
      <c r="BA24" s="10">
        <f t="shared" si="26"/>
        <v>1272456.5031760097</v>
      </c>
      <c r="BB24" s="10">
        <f t="shared" si="26"/>
        <v>1203254.4339622611</v>
      </c>
      <c r="BC24" s="304">
        <f t="shared" si="26"/>
        <v>4879759.2904073838</v>
      </c>
      <c r="BE24" s="373">
        <f t="shared" si="26"/>
        <v>1251001.3763506585</v>
      </c>
      <c r="BF24" s="10">
        <f t="shared" si="26"/>
        <v>1531943.802063606</v>
      </c>
      <c r="BG24" s="10">
        <f t="shared" si="26"/>
        <v>1465335.3570509171</v>
      </c>
      <c r="BH24" s="10">
        <f t="shared" si="26"/>
        <v>1402025.3739331984</v>
      </c>
      <c r="BI24" s="304">
        <f t="shared" si="26"/>
        <v>5650305.9093983797</v>
      </c>
      <c r="BK24" s="373">
        <f t="shared" si="26"/>
        <v>1478245.4148779514</v>
      </c>
      <c r="BL24" s="10">
        <f t="shared" si="26"/>
        <v>1841177.5093815043</v>
      </c>
      <c r="BM24" s="10">
        <f t="shared" si="26"/>
        <v>1731834.0652051449</v>
      </c>
      <c r="BN24" s="10">
        <f t="shared" si="26"/>
        <v>1578573.2948763743</v>
      </c>
      <c r="BO24" s="304">
        <f t="shared" si="26"/>
        <v>6629830.2843409749</v>
      </c>
    </row>
    <row r="25" spans="1:67" ht="15">
      <c r="A25" s="461" t="s">
        <v>79</v>
      </c>
      <c r="C25" s="374">
        <f>C23-C24</f>
        <v>192356</v>
      </c>
      <c r="D25" s="11">
        <f t="shared" ref="D25:AO25" si="27">D23-D24</f>
        <v>232985</v>
      </c>
      <c r="E25" s="11">
        <f t="shared" si="27"/>
        <v>236251</v>
      </c>
      <c r="F25" s="11">
        <f t="shared" si="27"/>
        <v>220713</v>
      </c>
      <c r="G25" s="305">
        <f t="shared" si="27"/>
        <v>882305</v>
      </c>
      <c r="I25" s="374">
        <f t="shared" si="27"/>
        <v>203353</v>
      </c>
      <c r="J25" s="11">
        <f t="shared" si="27"/>
        <v>265556</v>
      </c>
      <c r="K25" s="11">
        <f t="shared" si="27"/>
        <v>262496</v>
      </c>
      <c r="L25" s="11">
        <f t="shared" si="27"/>
        <v>263347</v>
      </c>
      <c r="M25" s="305">
        <f t="shared" si="27"/>
        <v>994752</v>
      </c>
      <c r="O25" s="374">
        <f t="shared" si="27"/>
        <v>216475</v>
      </c>
      <c r="P25" s="11">
        <f t="shared" si="27"/>
        <v>273745</v>
      </c>
      <c r="Q25" s="11">
        <f t="shared" si="27"/>
        <v>278914</v>
      </c>
      <c r="R25" s="11">
        <f t="shared" si="27"/>
        <v>255237</v>
      </c>
      <c r="S25" s="305">
        <f t="shared" si="27"/>
        <v>1024371</v>
      </c>
      <c r="U25" s="374">
        <f t="shared" si="27"/>
        <v>251897</v>
      </c>
      <c r="V25" s="11">
        <f t="shared" si="27"/>
        <v>239319</v>
      </c>
      <c r="W25" s="11">
        <f t="shared" si="27"/>
        <v>267715</v>
      </c>
      <c r="X25" s="11">
        <f t="shared" si="27"/>
        <v>247415</v>
      </c>
      <c r="Y25" s="305">
        <f t="shared" si="27"/>
        <v>1006346</v>
      </c>
      <c r="AA25" s="374">
        <f t="shared" si="27"/>
        <v>247612</v>
      </c>
      <c r="AB25" s="11">
        <f t="shared" si="27"/>
        <v>308572</v>
      </c>
      <c r="AC25" s="11">
        <f t="shared" si="27"/>
        <v>312247</v>
      </c>
      <c r="AD25" s="11">
        <f t="shared" si="27"/>
        <v>327298</v>
      </c>
      <c r="AE25" s="305">
        <f t="shared" si="27"/>
        <v>1195729</v>
      </c>
      <c r="AG25" s="374">
        <f t="shared" si="27"/>
        <v>325720</v>
      </c>
      <c r="AH25" s="11">
        <f t="shared" si="27"/>
        <v>457843</v>
      </c>
      <c r="AI25" s="11">
        <f t="shared" si="27"/>
        <v>452438</v>
      </c>
      <c r="AJ25" s="11">
        <f t="shared" si="27"/>
        <v>386674</v>
      </c>
      <c r="AK25" s="516">
        <f t="shared" si="27"/>
        <v>1622675</v>
      </c>
      <c r="AL25" s="540"/>
      <c r="AM25" s="11">
        <f>AM23-AM24</f>
        <v>382940.5676292883</v>
      </c>
      <c r="AN25" s="11">
        <f>AN23-AN24</f>
        <v>460229.1384036711</v>
      </c>
      <c r="AO25" s="11">
        <f t="shared" si="27"/>
        <v>452998.82959977014</v>
      </c>
      <c r="AP25" s="11">
        <f t="shared" ref="AP25" si="28">AP23-AP24</f>
        <v>418811.77537452546</v>
      </c>
      <c r="AQ25" s="305">
        <f t="shared" ref="AQ25" si="29">AQ23-AQ24</f>
        <v>1714980.3110072552</v>
      </c>
      <c r="AS25" s="374">
        <f t="shared" ref="AS25" si="30">AS23-AS24</f>
        <v>427094.41403170791</v>
      </c>
      <c r="AT25" s="11">
        <f t="shared" ref="AT25" si="31">AT23-AT24</f>
        <v>512646.14806329296</v>
      </c>
      <c r="AU25" s="11">
        <f t="shared" ref="AU25" si="32">AU23-AU24</f>
        <v>502612.40472407034</v>
      </c>
      <c r="AV25" s="11">
        <f t="shared" ref="AV25" si="33">AV23-AV24</f>
        <v>468530.91261988017</v>
      </c>
      <c r="AW25" s="305">
        <f t="shared" ref="AW25" si="34">AW23-AW24</f>
        <v>1910883.8794389525</v>
      </c>
      <c r="AY25" s="374">
        <f t="shared" ref="AY25" si="35">AY23-AY24</f>
        <v>482081.96704415721</v>
      </c>
      <c r="AZ25" s="11">
        <f t="shared" ref="AZ25" si="36">AZ23-AZ24</f>
        <v>579965.17363368999</v>
      </c>
      <c r="BA25" s="11">
        <f t="shared" ref="BA25" si="37">BA23-BA24</f>
        <v>561541.62378066918</v>
      </c>
      <c r="BB25" s="11">
        <f t="shared" ref="BB25" si="38">BB23-BB24</f>
        <v>527519.12808812642</v>
      </c>
      <c r="BC25" s="305">
        <f t="shared" ref="BC25" si="39">BC23-BC24</f>
        <v>2151107.8925466416</v>
      </c>
      <c r="BE25" s="374">
        <f t="shared" ref="BE25" si="40">BE23-BE24</f>
        <v>549025.53846475785</v>
      </c>
      <c r="BF25" s="11">
        <f t="shared" ref="BF25" si="41">BF23-BF24</f>
        <v>684089.12230746518</v>
      </c>
      <c r="BG25" s="11">
        <f t="shared" ref="BG25" si="42">BG23-BG24</f>
        <v>649904.99866500869</v>
      </c>
      <c r="BH25" s="11">
        <f t="shared" ref="BH25" si="43">BH23-BH24</f>
        <v>613448.23529961985</v>
      </c>
      <c r="BI25" s="305">
        <f t="shared" ref="BI25" si="44">BI23-BI24</f>
        <v>2496467.8947368525</v>
      </c>
      <c r="BK25" s="374">
        <f t="shared" ref="BK25" si="45">BK23-BK24</f>
        <v>648005.14519074536</v>
      </c>
      <c r="BL25" s="11">
        <f t="shared" ref="BL25" si="46">BL23-BL24</f>
        <v>824703.88601589343</v>
      </c>
      <c r="BM25" s="11">
        <f t="shared" ref="BM25" si="47">BM23-BM24</f>
        <v>770147.60188349592</v>
      </c>
      <c r="BN25" s="11">
        <f t="shared" ref="BN25" si="48">BN23-BN24</f>
        <v>689993.01268219016</v>
      </c>
      <c r="BO25" s="305">
        <f t="shared" ref="BO25" si="49">BO23-BO24</f>
        <v>2932849.6457723258</v>
      </c>
    </row>
    <row r="26" spans="1:67" ht="15">
      <c r="A26" s="462" t="s">
        <v>95</v>
      </c>
      <c r="C26" s="349">
        <f>C25/C23</f>
        <v>0.27920533108060053</v>
      </c>
      <c r="D26" s="330">
        <f t="shared" ref="D26:BO26" si="50">D25/D23</f>
        <v>0.30949616625132176</v>
      </c>
      <c r="E26" s="330">
        <f t="shared" si="50"/>
        <v>0.3125649933981261</v>
      </c>
      <c r="F26" s="330">
        <f t="shared" si="50"/>
        <v>0.29530654814069518</v>
      </c>
      <c r="G26" s="297">
        <f t="shared" si="50"/>
        <v>0.29959646557631331</v>
      </c>
      <c r="I26" s="349">
        <f t="shared" si="50"/>
        <v>0.27121761374700243</v>
      </c>
      <c r="J26" s="330">
        <f t="shared" si="50"/>
        <v>0.31273523800551145</v>
      </c>
      <c r="K26" s="330">
        <f t="shared" si="50"/>
        <v>0.31131631286758121</v>
      </c>
      <c r="L26" s="330">
        <f t="shared" si="50"/>
        <v>0.30685827612082905</v>
      </c>
      <c r="M26" s="297">
        <f t="shared" si="50"/>
        <v>0.30141232486835301</v>
      </c>
      <c r="O26" s="349">
        <f t="shared" si="50"/>
        <v>0.27723384718232569</v>
      </c>
      <c r="P26" s="330">
        <f t="shared" si="50"/>
        <v>0.31512827537936955</v>
      </c>
      <c r="Q26" s="330">
        <f t="shared" si="50"/>
        <v>0.31280027992481507</v>
      </c>
      <c r="R26" s="330">
        <f t="shared" si="50"/>
        <v>0.29303735340210446</v>
      </c>
      <c r="S26" s="297">
        <f t="shared" si="50"/>
        <v>0.30020924977800179</v>
      </c>
      <c r="U26" s="349">
        <f t="shared" si="50"/>
        <v>0.29339372882362741</v>
      </c>
      <c r="V26" s="330">
        <f t="shared" si="50"/>
        <v>0.33706901408450707</v>
      </c>
      <c r="W26" s="330">
        <f t="shared" si="50"/>
        <v>0.34351326243610009</v>
      </c>
      <c r="X26" s="330">
        <f t="shared" si="50"/>
        <v>0.31074869063916905</v>
      </c>
      <c r="Y26" s="297">
        <f t="shared" si="50"/>
        <v>0.3200747305188103</v>
      </c>
      <c r="AA26" s="349">
        <f t="shared" si="50"/>
        <v>0.30639437330785946</v>
      </c>
      <c r="AB26" s="330">
        <f t="shared" si="50"/>
        <v>0.33306636674301482</v>
      </c>
      <c r="AC26" s="330">
        <f t="shared" si="50"/>
        <v>0.3281701435344343</v>
      </c>
      <c r="AD26" s="330">
        <f t="shared" si="50"/>
        <v>0.2923658373835733</v>
      </c>
      <c r="AE26" s="297">
        <f t="shared" si="50"/>
        <v>0.31420529823947346</v>
      </c>
      <c r="AG26" s="349">
        <f t="shared" si="50"/>
        <v>0.27860533106836061</v>
      </c>
      <c r="AH26" s="330">
        <f t="shared" si="50"/>
        <v>0.33756466063855511</v>
      </c>
      <c r="AI26" s="330">
        <f t="shared" si="50"/>
        <v>0.33192183031738276</v>
      </c>
      <c r="AJ26" s="330">
        <f t="shared" si="50"/>
        <v>0.30253861597467485</v>
      </c>
      <c r="AK26" s="507">
        <f t="shared" si="50"/>
        <v>0.31406987760821664</v>
      </c>
      <c r="AL26" s="540"/>
      <c r="AM26" s="330">
        <f t="shared" si="50"/>
        <v>0.30548346362346879</v>
      </c>
      <c r="AN26" s="330">
        <f t="shared" si="50"/>
        <v>0.30514748590945118</v>
      </c>
      <c r="AO26" s="330">
        <f t="shared" si="50"/>
        <v>0.30447080001863269</v>
      </c>
      <c r="AP26" s="330">
        <f t="shared" si="50"/>
        <v>0.30558766019663458</v>
      </c>
      <c r="AQ26" s="297">
        <f t="shared" si="50"/>
        <v>0.3051506250042757</v>
      </c>
      <c r="AS26" s="349">
        <f>AS25/AS23</f>
        <v>0.30542140242738358</v>
      </c>
      <c r="AT26" s="330">
        <f t="shared" si="50"/>
        <v>0.306157866848146</v>
      </c>
      <c r="AU26" s="330">
        <f t="shared" si="50"/>
        <v>0.30525351809301948</v>
      </c>
      <c r="AV26" s="330">
        <f t="shared" si="50"/>
        <v>0.3051790935869142</v>
      </c>
      <c r="AW26" s="297">
        <f t="shared" si="50"/>
        <v>0.30551489091630307</v>
      </c>
      <c r="AY26" s="349">
        <f t="shared" si="50"/>
        <v>0.30531201490102006</v>
      </c>
      <c r="AZ26" s="330">
        <f t="shared" si="50"/>
        <v>0.30732913799076622</v>
      </c>
      <c r="BA26" s="330">
        <f t="shared" si="50"/>
        <v>0.30618440418610821</v>
      </c>
      <c r="BB26" s="330">
        <f t="shared" si="50"/>
        <v>0.30478806682440468</v>
      </c>
      <c r="BC26" s="297">
        <f t="shared" si="50"/>
        <v>0.30595200230234637</v>
      </c>
      <c r="BE26" s="349">
        <f t="shared" si="50"/>
        <v>0.30500962732607678</v>
      </c>
      <c r="BF26" s="330">
        <f t="shared" si="50"/>
        <v>0.30869989104589474</v>
      </c>
      <c r="BG26" s="330">
        <f t="shared" si="50"/>
        <v>0.30724877052803834</v>
      </c>
      <c r="BH26" s="330">
        <f t="shared" si="50"/>
        <v>0.30436927206063807</v>
      </c>
      <c r="BI26" s="297">
        <f t="shared" si="50"/>
        <v>0.30643638264139195</v>
      </c>
      <c r="BK26" s="349">
        <f t="shared" si="50"/>
        <v>0.30476424432772825</v>
      </c>
      <c r="BL26" s="330">
        <f t="shared" si="50"/>
        <v>0.30935505511975581</v>
      </c>
      <c r="BM26" s="330">
        <f t="shared" si="50"/>
        <v>0.30781504597499953</v>
      </c>
      <c r="BN26" s="330">
        <f t="shared" si="50"/>
        <v>0.30415377782135977</v>
      </c>
      <c r="BO26" s="297">
        <f t="shared" si="50"/>
        <v>0.30669746004325138</v>
      </c>
    </row>
    <row r="27" spans="1:67">
      <c r="A27" s="463" t="s">
        <v>84</v>
      </c>
      <c r="C27" s="393">
        <v>112221</v>
      </c>
      <c r="D27" s="8">
        <v>112294</v>
      </c>
      <c r="E27" s="8">
        <v>113252</v>
      </c>
      <c r="F27" s="24">
        <v>118881</v>
      </c>
      <c r="G27" s="317">
        <v>456648</v>
      </c>
      <c r="I27" s="393">
        <v>115088</v>
      </c>
      <c r="J27" s="8">
        <v>125995</v>
      </c>
      <c r="K27" s="8">
        <v>121219</v>
      </c>
      <c r="L27" s="24">
        <f t="shared" ref="L27:L32" si="51">M27-SUM(I27:K27)</f>
        <v>141445</v>
      </c>
      <c r="M27" s="317">
        <v>503747</v>
      </c>
      <c r="O27" s="393">
        <v>114812</v>
      </c>
      <c r="P27" s="8">
        <v>123920</v>
      </c>
      <c r="Q27" s="8">
        <v>122301</v>
      </c>
      <c r="R27" s="24">
        <f t="shared" ref="R27:R32" si="52">S27-SUM(O27:Q27)</f>
        <v>123021</v>
      </c>
      <c r="S27" s="317">
        <v>484054</v>
      </c>
      <c r="T27" s="500"/>
      <c r="U27" s="393">
        <v>129307</v>
      </c>
      <c r="V27" s="8">
        <v>103839</v>
      </c>
      <c r="W27" s="8">
        <v>106544</v>
      </c>
      <c r="X27" s="24">
        <f t="shared" ref="X27:X37" si="53">Y27-SUM(U27:W27)</f>
        <v>111354</v>
      </c>
      <c r="Y27" s="317">
        <v>451044</v>
      </c>
      <c r="Z27" s="500"/>
      <c r="AA27" s="393">
        <v>121641</v>
      </c>
      <c r="AB27" s="8">
        <v>124106</v>
      </c>
      <c r="AC27" s="8">
        <v>133164</v>
      </c>
      <c r="AD27" s="24">
        <f t="shared" ref="AD27:AD37" si="54">AE27-SUM(AA27:AC27)</f>
        <v>159051</v>
      </c>
      <c r="AE27" s="317">
        <v>537962</v>
      </c>
      <c r="AF27" s="500"/>
      <c r="AG27" s="393">
        <v>151173</v>
      </c>
      <c r="AH27" s="8">
        <v>155608</v>
      </c>
      <c r="AI27" s="8">
        <v>151711</v>
      </c>
      <c r="AJ27" s="24">
        <f t="shared" ref="AJ27:AJ37" si="55">AK27-SUM(AG27:AI27)</f>
        <v>168899</v>
      </c>
      <c r="AK27" s="517">
        <v>627391</v>
      </c>
      <c r="AL27" s="540"/>
      <c r="AM27" s="5">
        <f>AM23*AM50</f>
        <v>179857.26920038243</v>
      </c>
      <c r="AN27" s="5">
        <f>AN23*AN50</f>
        <v>173445.14820000003</v>
      </c>
      <c r="AO27" s="5">
        <f>AO23*AO50</f>
        <v>171099.70940000002</v>
      </c>
      <c r="AP27" s="5">
        <f>AP23*AP50</f>
        <v>191871.78080000004</v>
      </c>
      <c r="AQ27" s="317">
        <f>SUM(AM27:AP27)</f>
        <v>716273.90760038258</v>
      </c>
      <c r="AS27" s="377">
        <f>AS23*AS50</f>
        <v>194374.47107041618</v>
      </c>
      <c r="AT27" s="5">
        <f>AT23*AT50</f>
        <v>184189.53877455692</v>
      </c>
      <c r="AU27" s="5">
        <f>AU23*AU50</f>
        <v>181119.49983423317</v>
      </c>
      <c r="AV27" s="5">
        <f>AV23*AV50</f>
        <v>207260.83317260366</v>
      </c>
      <c r="AW27" s="317">
        <f>SUM(AS27:AV27)</f>
        <v>766944.34285180992</v>
      </c>
      <c r="AY27" s="377">
        <f>AY23*AY50</f>
        <v>221966.11120884612</v>
      </c>
      <c r="AZ27" s="5">
        <f>AZ23*AZ50</f>
        <v>233978.90121266717</v>
      </c>
      <c r="BA27" s="5">
        <f>BA23*BA50</f>
        <v>224835.0559199242</v>
      </c>
      <c r="BB27" s="5">
        <f>BB23*BB50</f>
        <v>223359.81277099575</v>
      </c>
      <c r="BC27" s="317">
        <f>SUM(AY27:BB27)</f>
        <v>904139.88111243327</v>
      </c>
      <c r="BE27" s="377">
        <f>BE23*BE50</f>
        <v>257281.16924958531</v>
      </c>
      <c r="BF27" s="5">
        <f>BF23*BF50</f>
        <v>264893.02718775149</v>
      </c>
      <c r="BG27" s="5">
        <f>BG23*BG50</f>
        <v>253341.17286842703</v>
      </c>
      <c r="BH27" s="5">
        <f>BH23*BH50</f>
        <v>256795.57978287627</v>
      </c>
      <c r="BI27" s="317">
        <f>SUM(BE27:BH27)</f>
        <v>1032310.9490886402</v>
      </c>
      <c r="BK27" s="377">
        <f>BK23*BK50</f>
        <v>310398.56111784728</v>
      </c>
      <c r="BL27" s="5">
        <f>BL23*BL50</f>
        <v>347541.5593365716</v>
      </c>
      <c r="BM27" s="5">
        <f>BM23*BM50</f>
        <v>321776.11115754239</v>
      </c>
      <c r="BN27" s="5">
        <f>BN23*BN50</f>
        <v>320017.83990910975</v>
      </c>
      <c r="BO27" s="317">
        <f>SUM(BK27:BN27)</f>
        <v>1299734.071521071</v>
      </c>
    </row>
    <row r="28" spans="1:67" ht="18.75">
      <c r="A28" s="463" t="s">
        <v>4</v>
      </c>
      <c r="C28" s="373">
        <v>2290</v>
      </c>
      <c r="D28" s="10">
        <v>2416</v>
      </c>
      <c r="E28" s="10">
        <v>2347</v>
      </c>
      <c r="F28" s="494">
        <v>2407</v>
      </c>
      <c r="G28" s="304">
        <v>9460</v>
      </c>
      <c r="I28" s="373">
        <v>2430</v>
      </c>
      <c r="J28" s="10">
        <v>2448</v>
      </c>
      <c r="K28" s="10">
        <v>2450</v>
      </c>
      <c r="L28" s="494">
        <f>M28-SUM(I28:K28)</f>
        <v>2478</v>
      </c>
      <c r="M28" s="304">
        <v>9806</v>
      </c>
      <c r="O28" s="373">
        <v>2574</v>
      </c>
      <c r="P28" s="10">
        <v>2560</v>
      </c>
      <c r="Q28" s="10">
        <v>2490</v>
      </c>
      <c r="R28" s="494">
        <f>S28-SUM(O28:Q28)</f>
        <v>2512</v>
      </c>
      <c r="S28" s="304">
        <v>10136</v>
      </c>
      <c r="T28" s="500"/>
      <c r="U28" s="373">
        <v>2561</v>
      </c>
      <c r="V28" s="10">
        <v>2766</v>
      </c>
      <c r="W28" s="10">
        <v>2822</v>
      </c>
      <c r="X28" s="494">
        <f>Y28-SUM(U28:W28)</f>
        <v>2902</v>
      </c>
      <c r="Y28" s="304">
        <v>11051</v>
      </c>
      <c r="Z28" s="500"/>
      <c r="AA28" s="373">
        <v>2953</v>
      </c>
      <c r="AB28" s="10">
        <v>2873</v>
      </c>
      <c r="AC28" s="10">
        <v>2799</v>
      </c>
      <c r="AD28" s="494">
        <f>AE28-SUM(AA28:AC28)</f>
        <v>3120</v>
      </c>
      <c r="AE28" s="304">
        <v>11745</v>
      </c>
      <c r="AF28" s="500"/>
      <c r="AG28" s="373">
        <v>3156</v>
      </c>
      <c r="AH28" s="10">
        <v>3197</v>
      </c>
      <c r="AI28" s="10">
        <v>3246</v>
      </c>
      <c r="AJ28" s="494">
        <f>AK28-SUM(AG28:AI28)</f>
        <v>3344</v>
      </c>
      <c r="AK28" s="515">
        <v>12943</v>
      </c>
      <c r="AL28" s="540"/>
      <c r="AM28" s="15">
        <f>AM23*AM51</f>
        <v>4010.9131025922734</v>
      </c>
      <c r="AN28" s="15">
        <f>AN23*AN51</f>
        <v>4623.5163814954203</v>
      </c>
      <c r="AO28" s="15">
        <f>AO23*AO51</f>
        <v>4400.8341566258423</v>
      </c>
      <c r="AP28" s="15">
        <f>AP23*AP51</f>
        <v>4120.7176564669771</v>
      </c>
      <c r="AQ28" s="304">
        <f>SUM(AM28:AP28)</f>
        <v>17155.981297180515</v>
      </c>
      <c r="AS28" s="384">
        <f>AS23*AS51</f>
        <v>4445.3158884337627</v>
      </c>
      <c r="AT28" s="15">
        <f>AT23*AT51</f>
        <v>5092.9611232066491</v>
      </c>
      <c r="AU28" s="15">
        <f>AU23*AU51</f>
        <v>4829.9011090950362</v>
      </c>
      <c r="AV28" s="15">
        <f>AV23*AV51</f>
        <v>4561.3759952253113</v>
      </c>
      <c r="AW28" s="304">
        <f>SUM(AS28:AV28)</f>
        <v>18929.55411596076</v>
      </c>
      <c r="AY28" s="384">
        <f>AY23*AY51</f>
        <v>5003.1099825757428</v>
      </c>
      <c r="AZ28" s="15">
        <f>AZ23*AZ51</f>
        <v>5789.693471442758</v>
      </c>
      <c r="BA28" s="15">
        <f>BA23*BA51</f>
        <v>5388.2477587130161</v>
      </c>
      <c r="BB28" s="15">
        <f>BB23*BB51</f>
        <v>5166.3710604065946</v>
      </c>
      <c r="BC28" s="304">
        <f>SUM(AY28:BB28)</f>
        <v>21347.422273138109</v>
      </c>
      <c r="BE28" s="384">
        <f>BE23*BE51</f>
        <v>5665.1416637350567</v>
      </c>
      <c r="BF28" s="15">
        <f>BF23*BF51</f>
        <v>6843.5137138809905</v>
      </c>
      <c r="BG28" s="15">
        <f>BG23*BG51</f>
        <v>6265.8118536795155</v>
      </c>
      <c r="BH28" s="15">
        <f>BH23*BH51</f>
        <v>6050.12381268032</v>
      </c>
      <c r="BI28" s="304">
        <f>SUM(BE28:BH28)</f>
        <v>24824.591043975881</v>
      </c>
      <c r="BK28" s="384">
        <f>BK23*BK51</f>
        <v>6750.0963336377226</v>
      </c>
      <c r="BL28" s="15">
        <f>BL23*BL51</f>
        <v>7873.9035883639135</v>
      </c>
      <c r="BM28" s="15">
        <f>BM23*BM51</f>
        <v>7136.7196634810362</v>
      </c>
      <c r="BN28" s="15">
        <f>BN23*BN51</f>
        <v>6566.7441433282756</v>
      </c>
      <c r="BO28" s="304">
        <f>SUM(BK28:BN28)</f>
        <v>28327.463728810948</v>
      </c>
    </row>
    <row r="29" spans="1:67" ht="15">
      <c r="A29" s="464" t="s">
        <v>86</v>
      </c>
      <c r="C29" s="347">
        <f>C25-C27-C28</f>
        <v>77845</v>
      </c>
      <c r="D29" s="9">
        <f>D25-D27-D28</f>
        <v>118275</v>
      </c>
      <c r="E29" s="9">
        <f t="shared" ref="E29:AK29" si="56">E25-E27-E28</f>
        <v>120652</v>
      </c>
      <c r="F29" s="9">
        <f>F25-F27-F28</f>
        <v>99425</v>
      </c>
      <c r="G29" s="296">
        <f t="shared" si="56"/>
        <v>416197</v>
      </c>
      <c r="I29" s="347">
        <f t="shared" si="56"/>
        <v>85835</v>
      </c>
      <c r="J29" s="9">
        <f t="shared" si="56"/>
        <v>137113</v>
      </c>
      <c r="K29" s="9">
        <f t="shared" si="56"/>
        <v>138827</v>
      </c>
      <c r="L29" s="9">
        <f>L25-L27-L28</f>
        <v>119424</v>
      </c>
      <c r="M29" s="296">
        <f t="shared" si="56"/>
        <v>481199</v>
      </c>
      <c r="O29" s="347">
        <f t="shared" si="56"/>
        <v>99089</v>
      </c>
      <c r="P29" s="9">
        <f t="shared" si="56"/>
        <v>147265</v>
      </c>
      <c r="Q29" s="9">
        <f t="shared" si="56"/>
        <v>154123</v>
      </c>
      <c r="R29" s="9">
        <f t="shared" si="56"/>
        <v>129704</v>
      </c>
      <c r="S29" s="296">
        <f t="shared" si="56"/>
        <v>530181</v>
      </c>
      <c r="T29" s="500"/>
      <c r="U29" s="347">
        <f t="shared" si="56"/>
        <v>120029</v>
      </c>
      <c r="V29" s="9">
        <f t="shared" si="56"/>
        <v>132714</v>
      </c>
      <c r="W29" s="9">
        <f t="shared" si="56"/>
        <v>158349</v>
      </c>
      <c r="X29" s="9">
        <f t="shared" si="56"/>
        <v>133159</v>
      </c>
      <c r="Y29" s="296">
        <f t="shared" si="56"/>
        <v>544251</v>
      </c>
      <c r="Z29" s="500"/>
      <c r="AA29" s="347">
        <f t="shared" si="56"/>
        <v>123018</v>
      </c>
      <c r="AB29" s="9">
        <f t="shared" si="56"/>
        <v>181593</v>
      </c>
      <c r="AC29" s="9">
        <f t="shared" si="56"/>
        <v>176284</v>
      </c>
      <c r="AD29" s="9">
        <f t="shared" si="56"/>
        <v>165127</v>
      </c>
      <c r="AE29" s="296">
        <f t="shared" si="56"/>
        <v>646022</v>
      </c>
      <c r="AF29" s="500"/>
      <c r="AG29" s="347">
        <f t="shared" si="56"/>
        <v>171391</v>
      </c>
      <c r="AH29" s="9">
        <f t="shared" si="56"/>
        <v>299038</v>
      </c>
      <c r="AI29" s="9">
        <f t="shared" si="56"/>
        <v>297481</v>
      </c>
      <c r="AJ29" s="9">
        <f t="shared" si="56"/>
        <v>214431</v>
      </c>
      <c r="AK29" s="506">
        <f t="shared" si="56"/>
        <v>982341</v>
      </c>
      <c r="AL29" s="540"/>
      <c r="AM29" s="14">
        <f t="shared" ref="AM29" si="57">AM25-AM27-AM28</f>
        <v>199072.38532631358</v>
      </c>
      <c r="AN29" s="14">
        <f t="shared" ref="AN29" si="58">AN25-AN27-AN28</f>
        <v>282160.47382217564</v>
      </c>
      <c r="AO29" s="14">
        <f t="shared" ref="AO29" si="59">AO25-AO27-AO28</f>
        <v>277498.28604314424</v>
      </c>
      <c r="AP29" s="14">
        <f t="shared" ref="AP29" si="60">AP25-AP27-AP28</f>
        <v>222819.27691805846</v>
      </c>
      <c r="AQ29" s="296">
        <f t="shared" ref="AQ29" si="61">AQ25-AQ27-AQ28</f>
        <v>981550.42210969212</v>
      </c>
      <c r="AS29" s="376">
        <f t="shared" ref="AS29" si="62">AS25-AS27-AS28</f>
        <v>228274.62707285795</v>
      </c>
      <c r="AT29" s="14">
        <f t="shared" ref="AT29" si="63">AT25-AT27-AT28</f>
        <v>323363.64816552936</v>
      </c>
      <c r="AU29" s="14">
        <f t="shared" ref="AU29" si="64">AU25-AU27-AU28</f>
        <v>316663.00378074212</v>
      </c>
      <c r="AV29" s="14">
        <f t="shared" ref="AV29" si="65">AV25-AV27-AV28</f>
        <v>256708.70345205121</v>
      </c>
      <c r="AW29" s="296">
        <f t="shared" ref="AW29" si="66">AW25-AW27-AW28</f>
        <v>1125009.9824711818</v>
      </c>
      <c r="AY29" s="376">
        <f t="shared" ref="AY29" si="67">AY25-AY27-AY28</f>
        <v>255112.74585273533</v>
      </c>
      <c r="AZ29" s="14">
        <f t="shared" ref="AZ29" si="68">AZ25-AZ27-AZ28</f>
        <v>340196.57894958009</v>
      </c>
      <c r="BA29" s="14">
        <f t="shared" ref="BA29" si="69">BA25-BA27-BA28</f>
        <v>331318.32010203198</v>
      </c>
      <c r="BB29" s="14">
        <f t="shared" ref="BB29" si="70">BB25-BB27-BB28</f>
        <v>298992.94425672403</v>
      </c>
      <c r="BC29" s="296">
        <f t="shared" ref="BC29" si="71">BC25-BC27-BC28</f>
        <v>1225620.5891610703</v>
      </c>
      <c r="BE29" s="376">
        <f t="shared" ref="BE29" si="72">BE25-BE27-BE28</f>
        <v>286079.22755143751</v>
      </c>
      <c r="BF29" s="14">
        <f t="shared" ref="BF29" si="73">BF25-BF27-BF28</f>
        <v>412352.58140583272</v>
      </c>
      <c r="BG29" s="14">
        <f t="shared" ref="BG29" si="74">BG25-BG27-BG28</f>
        <v>390298.01394290215</v>
      </c>
      <c r="BH29" s="14">
        <f t="shared" ref="BH29" si="75">BH25-BH27-BH28</f>
        <v>350602.53170406324</v>
      </c>
      <c r="BI29" s="296">
        <f t="shared" ref="BI29" si="76">BI25-BI27-BI28</f>
        <v>1439332.3546042365</v>
      </c>
      <c r="BK29" s="376">
        <f t="shared" ref="BK29" si="77">BK25-BK27-BK28</f>
        <v>330856.48773926037</v>
      </c>
      <c r="BL29" s="14">
        <f t="shared" ref="BL29" si="78">BL25-BL27-BL28</f>
        <v>469288.42309095792</v>
      </c>
      <c r="BM29" s="14">
        <f t="shared" ref="BM29" si="79">BM25-BM27-BM28</f>
        <v>441234.77106247249</v>
      </c>
      <c r="BN29" s="14">
        <f t="shared" ref="BN29" si="80">BN25-BN27-BN28</f>
        <v>363408.42862975213</v>
      </c>
      <c r="BO29" s="296">
        <f t="shared" ref="BO29" si="81">BO25-BO27-BO28</f>
        <v>1604788.1105224439</v>
      </c>
    </row>
    <row r="30" spans="1:67" ht="18.75">
      <c r="A30" s="463" t="s">
        <v>85</v>
      </c>
      <c r="C30" s="373">
        <v>72412</v>
      </c>
      <c r="D30" s="10">
        <v>71531</v>
      </c>
      <c r="E30" s="10">
        <v>72989</v>
      </c>
      <c r="F30" s="494">
        <f t="shared" ref="F30:F32" si="82">G30-SUM(C30:E30)</f>
        <v>71490</v>
      </c>
      <c r="G30" s="304">
        <v>288422</v>
      </c>
      <c r="I30" s="373">
        <v>74844</v>
      </c>
      <c r="J30" s="10">
        <v>72760</v>
      </c>
      <c r="K30" s="10">
        <v>73082</v>
      </c>
      <c r="L30" s="494">
        <f t="shared" si="51"/>
        <v>77939</v>
      </c>
      <c r="M30" s="304">
        <v>298625</v>
      </c>
      <c r="O30" s="373">
        <v>75355</v>
      </c>
      <c r="P30" s="10">
        <v>74217</v>
      </c>
      <c r="Q30" s="10">
        <v>73756</v>
      </c>
      <c r="R30" s="494">
        <f t="shared" si="52"/>
        <v>77397</v>
      </c>
      <c r="S30" s="304">
        <v>300725</v>
      </c>
      <c r="T30" s="500"/>
      <c r="U30" s="373">
        <v>74533</v>
      </c>
      <c r="V30" s="10">
        <v>72494</v>
      </c>
      <c r="W30" s="10">
        <v>74470</v>
      </c>
      <c r="X30" s="494">
        <f t="shared" si="53"/>
        <v>71418</v>
      </c>
      <c r="Y30" s="304">
        <v>292915</v>
      </c>
      <c r="Z30" s="500"/>
      <c r="AA30" s="373">
        <v>72163</v>
      </c>
      <c r="AB30" s="10">
        <v>71592</v>
      </c>
      <c r="AC30" s="10">
        <v>71451</v>
      </c>
      <c r="AD30" s="494">
        <f t="shared" si="54"/>
        <v>82929</v>
      </c>
      <c r="AE30" s="304">
        <v>298135</v>
      </c>
      <c r="AF30" s="500"/>
      <c r="AG30" s="373">
        <v>84298</v>
      </c>
      <c r="AH30" s="10">
        <v>87868</v>
      </c>
      <c r="AI30" s="10">
        <v>88394</v>
      </c>
      <c r="AJ30" s="494">
        <f t="shared" si="55"/>
        <v>87034</v>
      </c>
      <c r="AK30" s="515">
        <v>347594</v>
      </c>
      <c r="AL30" s="540"/>
      <c r="AM30" s="15">
        <f>AM23*AM52</f>
        <v>88873.815880284412</v>
      </c>
      <c r="AN30" s="15">
        <f>AN23*AN52</f>
        <v>97757.413357443176</v>
      </c>
      <c r="AO30" s="15">
        <f>AO23*AO52</f>
        <v>96435.473639580334</v>
      </c>
      <c r="AP30" s="15">
        <f>AP23*AP52</f>
        <v>93327.118947435956</v>
      </c>
      <c r="AQ30" s="304">
        <f>SUM(AM30:AP30)</f>
        <v>376393.82182474388</v>
      </c>
      <c r="AS30" s="384">
        <f>AS23*AS52</f>
        <v>104878.31172864181</v>
      </c>
      <c r="AT30" s="15">
        <f>AT23*AT52</f>
        <v>125583.7764371979</v>
      </c>
      <c r="AU30" s="15">
        <f>AU23*AU52</f>
        <v>123490.56806879534</v>
      </c>
      <c r="AV30" s="15">
        <f>AV23*AV52</f>
        <v>115144.90731811314</v>
      </c>
      <c r="AW30" s="304">
        <f>SUM(AS30:AV30)</f>
        <v>469097.56355274818</v>
      </c>
      <c r="AY30" s="384">
        <f>AY23*AY52</f>
        <v>129111.36796221841</v>
      </c>
      <c r="AZ30" s="15">
        <f>AZ23*AZ52</f>
        <v>144922.87914962764</v>
      </c>
      <c r="BA30" s="15">
        <f>BA23*BA52</f>
        <v>137665.14557116988</v>
      </c>
      <c r="BB30" s="15">
        <f>BB23*BB52</f>
        <v>129797.89951303307</v>
      </c>
      <c r="BC30" s="304">
        <f>SUM(AY30:BB30)</f>
        <v>541497.29219604901</v>
      </c>
      <c r="BE30" s="384">
        <f>BE23*BE52</f>
        <v>142765.01137415183</v>
      </c>
      <c r="BF30" s="15">
        <f>BF23*BF52</f>
        <v>170182.53342793553</v>
      </c>
      <c r="BG30" s="15">
        <f>BG23*BG52</f>
        <v>158775.99175679227</v>
      </c>
      <c r="BH30" s="15">
        <f>BH23*BH52</f>
        <v>151148.73877115268</v>
      </c>
      <c r="BI30" s="304">
        <f>SUM(BE30:BH30)</f>
        <v>622872.27533003234</v>
      </c>
      <c r="BK30" s="384">
        <f>BK23*BK52</f>
        <v>182139.28462716303</v>
      </c>
      <c r="BL30" s="15">
        <f>BL23*BL52</f>
        <v>214261.43947800453</v>
      </c>
      <c r="BM30" s="15">
        <f>BM23*BM52</f>
        <v>198006.08617554035</v>
      </c>
      <c r="BN30" s="15">
        <f>BN23*BN52</f>
        <v>181550.21095400452</v>
      </c>
      <c r="BO30" s="304">
        <f>SUM(BK30:BN30)</f>
        <v>775957.02123471245</v>
      </c>
    </row>
    <row r="31" spans="1:67" ht="15">
      <c r="A31" s="465" t="s">
        <v>87</v>
      </c>
      <c r="C31" s="374">
        <f>C29-C30</f>
        <v>5433</v>
      </c>
      <c r="D31" s="11">
        <f t="shared" ref="D31:AK31" si="83">D29-D30</f>
        <v>46744</v>
      </c>
      <c r="E31" s="11">
        <f t="shared" si="83"/>
        <v>47663</v>
      </c>
      <c r="F31" s="11">
        <f t="shared" si="83"/>
        <v>27935</v>
      </c>
      <c r="G31" s="305">
        <f t="shared" si="83"/>
        <v>127775</v>
      </c>
      <c r="I31" s="374">
        <f t="shared" si="83"/>
        <v>10991</v>
      </c>
      <c r="J31" s="11">
        <f t="shared" si="83"/>
        <v>64353</v>
      </c>
      <c r="K31" s="11">
        <f t="shared" si="83"/>
        <v>65745</v>
      </c>
      <c r="L31" s="11">
        <f t="shared" si="83"/>
        <v>41485</v>
      </c>
      <c r="M31" s="305">
        <f t="shared" si="83"/>
        <v>182574</v>
      </c>
      <c r="O31" s="374">
        <f t="shared" si="83"/>
        <v>23734</v>
      </c>
      <c r="P31" s="11">
        <f t="shared" si="83"/>
        <v>73048</v>
      </c>
      <c r="Q31" s="11">
        <f t="shared" si="83"/>
        <v>80367</v>
      </c>
      <c r="R31" s="11">
        <f t="shared" si="83"/>
        <v>52307</v>
      </c>
      <c r="S31" s="305">
        <f t="shared" si="83"/>
        <v>229456</v>
      </c>
      <c r="T31" s="500"/>
      <c r="U31" s="374">
        <f t="shared" si="83"/>
        <v>45496</v>
      </c>
      <c r="V31" s="11">
        <f t="shared" si="83"/>
        <v>60220</v>
      </c>
      <c r="W31" s="11">
        <f t="shared" si="83"/>
        <v>83879</v>
      </c>
      <c r="X31" s="11">
        <f t="shared" si="83"/>
        <v>61741</v>
      </c>
      <c r="Y31" s="305">
        <f t="shared" si="83"/>
        <v>251336</v>
      </c>
      <c r="Z31" s="500"/>
      <c r="AA31" s="374">
        <f t="shared" si="83"/>
        <v>50855</v>
      </c>
      <c r="AB31" s="11">
        <f t="shared" si="83"/>
        <v>110001</v>
      </c>
      <c r="AC31" s="11">
        <f t="shared" si="83"/>
        <v>104833</v>
      </c>
      <c r="AD31" s="11">
        <f t="shared" si="83"/>
        <v>82198</v>
      </c>
      <c r="AE31" s="305">
        <f t="shared" si="83"/>
        <v>347887</v>
      </c>
      <c r="AF31" s="500"/>
      <c r="AG31" s="374">
        <f t="shared" si="83"/>
        <v>87093</v>
      </c>
      <c r="AH31" s="11">
        <f t="shared" si="83"/>
        <v>211170</v>
      </c>
      <c r="AI31" s="11">
        <f t="shared" si="83"/>
        <v>209087</v>
      </c>
      <c r="AJ31" s="11">
        <f t="shared" si="83"/>
        <v>127397</v>
      </c>
      <c r="AK31" s="516">
        <f t="shared" si="83"/>
        <v>634747</v>
      </c>
      <c r="AL31" s="540"/>
      <c r="AM31" s="11">
        <f t="shared" ref="AM31" si="84">AM29-AM30</f>
        <v>110198.56944602917</v>
      </c>
      <c r="AN31" s="11">
        <f t="shared" ref="AN31" si="85">AN29-AN30</f>
        <v>184403.06046473247</v>
      </c>
      <c r="AO31" s="11">
        <f t="shared" ref="AO31" si="86">AO29-AO30</f>
        <v>181062.8124035639</v>
      </c>
      <c r="AP31" s="11">
        <f t="shared" ref="AP31" si="87">AP29-AP30</f>
        <v>129492.1579706225</v>
      </c>
      <c r="AQ31" s="305">
        <f t="shared" ref="AQ31" si="88">AQ29-AQ30</f>
        <v>605156.60028494825</v>
      </c>
      <c r="AS31" s="374">
        <f t="shared" ref="AS31" si="89">AS29-AS30</f>
        <v>123396.31534421614</v>
      </c>
      <c r="AT31" s="11">
        <f t="shared" ref="AT31" si="90">AT29-AT30</f>
        <v>197779.87172833146</v>
      </c>
      <c r="AU31" s="11">
        <f t="shared" ref="AU31" si="91">AU29-AU30</f>
        <v>193172.43571194677</v>
      </c>
      <c r="AV31" s="11">
        <f t="shared" ref="AV31" si="92">AV29-AV30</f>
        <v>141563.79613393807</v>
      </c>
      <c r="AW31" s="305">
        <f t="shared" ref="AW31" si="93">AW29-AW30</f>
        <v>655912.4189184336</v>
      </c>
      <c r="AY31" s="374">
        <f t="shared" ref="AY31" si="94">AY29-AY30</f>
        <v>126001.37789051692</v>
      </c>
      <c r="AZ31" s="11">
        <f t="shared" ref="AZ31" si="95">AZ29-AZ30</f>
        <v>195273.69979995245</v>
      </c>
      <c r="BA31" s="11">
        <f t="shared" ref="BA31" si="96">BA29-BA30</f>
        <v>193653.1745308621</v>
      </c>
      <c r="BB31" s="11">
        <f t="shared" ref="BB31" si="97">BB29-BB30</f>
        <v>169195.04474369096</v>
      </c>
      <c r="BC31" s="305">
        <f t="shared" ref="BC31" si="98">BC29-BC30</f>
        <v>684123.29696502129</v>
      </c>
      <c r="BE31" s="374">
        <f t="shared" ref="BE31" si="99">BE29-BE30</f>
        <v>143314.21617728568</v>
      </c>
      <c r="BF31" s="11">
        <f t="shared" ref="BF31" si="100">BF29-BF30</f>
        <v>242170.04797789719</v>
      </c>
      <c r="BG31" s="11">
        <f t="shared" ref="BG31" si="101">BG29-BG30</f>
        <v>231522.02218610988</v>
      </c>
      <c r="BH31" s="11">
        <f t="shared" ref="BH31" si="102">BH29-BH30</f>
        <v>199453.79293291055</v>
      </c>
      <c r="BI31" s="305">
        <f t="shared" ref="BI31" si="103">BI29-BI30</f>
        <v>816460.07927420421</v>
      </c>
      <c r="BK31" s="374">
        <f t="shared" ref="BK31" si="104">BK29-BK30</f>
        <v>148717.20311209734</v>
      </c>
      <c r="BL31" s="11">
        <f t="shared" ref="BL31" si="105">BL29-BL30</f>
        <v>255026.98361295339</v>
      </c>
      <c r="BM31" s="11">
        <f t="shared" ref="BM31" si="106">BM29-BM30</f>
        <v>243228.68488693214</v>
      </c>
      <c r="BN31" s="11">
        <f t="shared" ref="BN31" si="107">BN29-BN30</f>
        <v>181858.21767574761</v>
      </c>
      <c r="BO31" s="305">
        <f t="shared" ref="BO31" si="108">BO29-BO30</f>
        <v>828831.08928773145</v>
      </c>
    </row>
    <row r="32" spans="1:67">
      <c r="A32" s="463" t="s">
        <v>6</v>
      </c>
      <c r="C32" s="393">
        <v>-1549</v>
      </c>
      <c r="D32" s="8">
        <v>-833</v>
      </c>
      <c r="E32" s="8">
        <v>-432</v>
      </c>
      <c r="F32" s="24">
        <f t="shared" si="82"/>
        <v>-3305</v>
      </c>
      <c r="G32" s="317">
        <v>-6119</v>
      </c>
      <c r="I32" s="393">
        <v>-299</v>
      </c>
      <c r="J32" s="8">
        <v>846</v>
      </c>
      <c r="K32" s="8">
        <v>-996</v>
      </c>
      <c r="L32" s="24">
        <f t="shared" si="51"/>
        <v>-4061</v>
      </c>
      <c r="M32" s="317">
        <v>-4510</v>
      </c>
      <c r="O32" s="393">
        <v>2983</v>
      </c>
      <c r="P32" s="8">
        <v>-564</v>
      </c>
      <c r="Q32" s="8">
        <v>-427</v>
      </c>
      <c r="R32" s="24">
        <f t="shared" si="52"/>
        <v>905</v>
      </c>
      <c r="S32" s="317">
        <v>2897</v>
      </c>
      <c r="T32" s="500"/>
      <c r="U32" s="393">
        <v>-2365</v>
      </c>
      <c r="V32" s="8">
        <v>-500</v>
      </c>
      <c r="W32" s="8">
        <v>2268</v>
      </c>
      <c r="X32" s="24">
        <f t="shared" si="53"/>
        <v>307</v>
      </c>
      <c r="Y32" s="317">
        <v>-290</v>
      </c>
      <c r="Z32" s="500"/>
      <c r="AA32" s="393">
        <v>-1228</v>
      </c>
      <c r="AB32" s="8">
        <v>-1480</v>
      </c>
      <c r="AC32" s="8">
        <v>199</v>
      </c>
      <c r="AD32" s="24">
        <f t="shared" si="54"/>
        <v>1994</v>
      </c>
      <c r="AE32" s="317">
        <v>-515</v>
      </c>
      <c r="AF32" s="500"/>
      <c r="AG32" s="393">
        <v>704</v>
      </c>
      <c r="AH32" s="8">
        <v>1265</v>
      </c>
      <c r="AI32" s="8">
        <v>104</v>
      </c>
      <c r="AJ32" s="24">
        <f t="shared" si="55"/>
        <v>399</v>
      </c>
      <c r="AK32" s="517">
        <v>2472</v>
      </c>
      <c r="AL32" s="540"/>
      <c r="AM32" s="5">
        <f>AM23*AM53</f>
        <v>-522.07918193459398</v>
      </c>
      <c r="AN32" s="5">
        <f>AN23*AN53</f>
        <v>-535.05180254433844</v>
      </c>
      <c r="AO32" s="5">
        <f>AO23*AO53</f>
        <v>239.02419115187794</v>
      </c>
      <c r="AP32" s="5">
        <f>AP23*AP53</f>
        <v>-1287.3620016491102</v>
      </c>
      <c r="AQ32" s="317">
        <f>SUM(AM32:AP32)</f>
        <v>-2105.4687949761646</v>
      </c>
      <c r="AS32" s="377">
        <f>AS23*AS53</f>
        <v>-155.4464358567929</v>
      </c>
      <c r="AT32" s="5">
        <f>AT23*AT53</f>
        <v>-384.21626961205016</v>
      </c>
      <c r="AU32" s="5">
        <f>AU23*AU53</f>
        <v>465.45518910021389</v>
      </c>
      <c r="AV32" s="5">
        <f>AV23*AV53</f>
        <v>-550.98699750372782</v>
      </c>
      <c r="AW32" s="317">
        <f>SUM(AS32:AV32)</f>
        <v>-625.19451387235699</v>
      </c>
      <c r="AY32" s="377">
        <f>AY23*AY53</f>
        <v>-99.830904158600234</v>
      </c>
      <c r="AZ32" s="5">
        <f>AZ23*AZ53</f>
        <v>-818.53865161872795</v>
      </c>
      <c r="BA32" s="5">
        <f>BA23*BA53</f>
        <v>965.92029894334553</v>
      </c>
      <c r="BB32" s="5">
        <f>BB23*BB53</f>
        <v>640.31850693172487</v>
      </c>
      <c r="BC32" s="317">
        <f>SUM(AY32:BB32)</f>
        <v>687.86925009774222</v>
      </c>
      <c r="BE32" s="377">
        <f>BE23*BE53</f>
        <v>-1278.8662972036341</v>
      </c>
      <c r="BF32" s="5">
        <f>BF23*BF53</f>
        <v>-881.61111096238153</v>
      </c>
      <c r="BG32" s="5">
        <f>BG23*BG53</f>
        <v>1468.5409598224942</v>
      </c>
      <c r="BH32" s="5">
        <f>BH23*BH53</f>
        <v>520.89798550051751</v>
      </c>
      <c r="BI32" s="317">
        <f>SUM(BE32:BH32)</f>
        <v>-171.03846284300403</v>
      </c>
      <c r="BK32" s="377">
        <f>BK23*BK53</f>
        <v>-786.24912099269193</v>
      </c>
      <c r="BL32" s="5">
        <f>BL23*BL53</f>
        <v>-924.44143332477279</v>
      </c>
      <c r="BM32" s="5">
        <f>BM23*BM53</f>
        <v>813.03026453933364</v>
      </c>
      <c r="BN32" s="5">
        <f>BN23*BN53</f>
        <v>538.23988543812709</v>
      </c>
      <c r="BO32" s="317">
        <f>SUM(BK32:BN32)</f>
        <v>-359.4204043400041</v>
      </c>
    </row>
    <row r="33" spans="1:67">
      <c r="A33" s="463" t="s">
        <v>11</v>
      </c>
      <c r="C33" s="393">
        <v>0</v>
      </c>
      <c r="D33" s="8">
        <v>-6045</v>
      </c>
      <c r="E33" s="8">
        <v>-1846</v>
      </c>
      <c r="F33" s="24">
        <f t="shared" ref="F33:F37" si="109">G33-SUM(C33:E33)</f>
        <v>0</v>
      </c>
      <c r="G33" s="317">
        <v>-7891</v>
      </c>
      <c r="I33" s="393">
        <v>0</v>
      </c>
      <c r="J33" s="8">
        <v>0</v>
      </c>
      <c r="K33" s="8">
        <v>-2469</v>
      </c>
      <c r="L33" s="24">
        <f t="shared" ref="L33:L37" si="110">M33-SUM(I33:K33)</f>
        <v>-19</v>
      </c>
      <c r="M33" s="317">
        <v>-2488</v>
      </c>
      <c r="O33" s="393">
        <v>0</v>
      </c>
      <c r="P33" s="8">
        <v>0</v>
      </c>
      <c r="Q33" s="8">
        <v>-6119</v>
      </c>
      <c r="R33" s="24">
        <f t="shared" ref="R33:R37" si="111">S33-SUM(O33:Q33)</f>
        <v>-12</v>
      </c>
      <c r="S33" s="317">
        <v>-6131</v>
      </c>
      <c r="T33" s="500"/>
      <c r="U33" s="393">
        <v>0</v>
      </c>
      <c r="V33" s="8">
        <v>0</v>
      </c>
      <c r="W33" s="8">
        <v>0</v>
      </c>
      <c r="X33" s="24">
        <f t="shared" si="53"/>
        <v>0</v>
      </c>
      <c r="Y33" s="317">
        <v>0</v>
      </c>
      <c r="Z33" s="500"/>
      <c r="AA33" s="393">
        <v>0</v>
      </c>
      <c r="AB33" s="8">
        <v>0</v>
      </c>
      <c r="AC33" s="8">
        <v>0</v>
      </c>
      <c r="AD33" s="24">
        <f t="shared" si="54"/>
        <v>0</v>
      </c>
      <c r="AE33" s="317">
        <v>0</v>
      </c>
      <c r="AF33" s="500"/>
      <c r="AG33" s="393">
        <v>0</v>
      </c>
      <c r="AH33" s="8">
        <v>0</v>
      </c>
      <c r="AI33" s="8">
        <v>0</v>
      </c>
      <c r="AJ33" s="24">
        <f t="shared" si="55"/>
        <v>-422</v>
      </c>
      <c r="AK33" s="517">
        <v>-422</v>
      </c>
      <c r="AL33" s="540"/>
      <c r="AM33" s="5">
        <v>0</v>
      </c>
      <c r="AN33" s="5">
        <v>0</v>
      </c>
      <c r="AO33" s="5">
        <v>0</v>
      </c>
      <c r="AP33" s="5">
        <v>0</v>
      </c>
      <c r="AQ33" s="317">
        <f>SUM(AM33:AP33)</f>
        <v>0</v>
      </c>
      <c r="AS33" s="377">
        <v>0</v>
      </c>
      <c r="AT33" s="5">
        <v>0</v>
      </c>
      <c r="AU33" s="5">
        <v>0</v>
      </c>
      <c r="AV33" s="5">
        <v>0</v>
      </c>
      <c r="AW33" s="317">
        <f>SUM(AS33:AV33)</f>
        <v>0</v>
      </c>
      <c r="AY33" s="377">
        <v>0</v>
      </c>
      <c r="AZ33" s="5">
        <v>0</v>
      </c>
      <c r="BA33" s="5">
        <v>0</v>
      </c>
      <c r="BB33" s="5">
        <v>0</v>
      </c>
      <c r="BC33" s="317">
        <f>SUM(AY33:BB33)</f>
        <v>0</v>
      </c>
      <c r="BE33" s="377">
        <v>0</v>
      </c>
      <c r="BF33" s="5">
        <v>0</v>
      </c>
      <c r="BG33" s="5">
        <v>0</v>
      </c>
      <c r="BH33" s="5">
        <v>0</v>
      </c>
      <c r="BI33" s="317">
        <f>SUM(BE33:BH33)</f>
        <v>0</v>
      </c>
      <c r="BK33" s="377">
        <v>0</v>
      </c>
      <c r="BL33" s="5">
        <v>0</v>
      </c>
      <c r="BM33" s="5">
        <v>0</v>
      </c>
      <c r="BN33" s="5">
        <v>0</v>
      </c>
      <c r="BO33" s="317">
        <f>SUM(BK33:BN33)</f>
        <v>0</v>
      </c>
    </row>
    <row r="34" spans="1:67">
      <c r="A34" s="463" t="s">
        <v>16</v>
      </c>
      <c r="C34" s="393">
        <v>0</v>
      </c>
      <c r="D34" s="8">
        <v>31722</v>
      </c>
      <c r="E34" s="8">
        <v>-77</v>
      </c>
      <c r="F34" s="24">
        <f t="shared" si="109"/>
        <v>-913</v>
      </c>
      <c r="G34" s="317">
        <v>30732</v>
      </c>
      <c r="I34" s="393">
        <v>0</v>
      </c>
      <c r="J34" s="8">
        <v>0</v>
      </c>
      <c r="K34" s="8">
        <v>0</v>
      </c>
      <c r="L34" s="24">
        <f t="shared" si="110"/>
        <v>0</v>
      </c>
      <c r="M34" s="317">
        <v>0</v>
      </c>
      <c r="O34" s="393">
        <v>0</v>
      </c>
      <c r="P34" s="8">
        <v>0</v>
      </c>
      <c r="Q34" s="8">
        <v>0</v>
      </c>
      <c r="R34" s="24">
        <f t="shared" si="111"/>
        <v>687</v>
      </c>
      <c r="S34" s="317">
        <v>687</v>
      </c>
      <c r="T34" s="500"/>
      <c r="U34" s="393">
        <v>-3074</v>
      </c>
      <c r="V34" s="8">
        <v>-184</v>
      </c>
      <c r="W34" s="8">
        <v>-118</v>
      </c>
      <c r="X34" s="24">
        <f t="shared" si="53"/>
        <v>0</v>
      </c>
      <c r="Y34" s="317">
        <v>-3376</v>
      </c>
      <c r="Z34" s="500"/>
      <c r="AA34" s="393">
        <v>0</v>
      </c>
      <c r="AB34" s="8">
        <v>0</v>
      </c>
      <c r="AC34" s="8">
        <v>0</v>
      </c>
      <c r="AD34" s="24">
        <f t="shared" si="54"/>
        <v>0</v>
      </c>
      <c r="AE34" s="317">
        <v>0</v>
      </c>
      <c r="AF34" s="500"/>
      <c r="AG34" s="393">
        <v>0</v>
      </c>
      <c r="AH34" s="8">
        <v>8864</v>
      </c>
      <c r="AI34" s="8">
        <v>0</v>
      </c>
      <c r="AJ34" s="24">
        <f t="shared" si="55"/>
        <v>0</v>
      </c>
      <c r="AK34" s="517">
        <v>8864</v>
      </c>
      <c r="AL34" s="540"/>
      <c r="AM34" s="5">
        <v>0</v>
      </c>
      <c r="AN34" s="5">
        <v>0</v>
      </c>
      <c r="AO34" s="5">
        <v>0</v>
      </c>
      <c r="AP34" s="5">
        <v>0</v>
      </c>
      <c r="AQ34" s="317">
        <f>SUM(AM34:AP34)</f>
        <v>0</v>
      </c>
      <c r="AS34" s="377">
        <v>0</v>
      </c>
      <c r="AT34" s="5">
        <v>0</v>
      </c>
      <c r="AU34" s="5">
        <v>0</v>
      </c>
      <c r="AV34" s="5">
        <v>0</v>
      </c>
      <c r="AW34" s="317">
        <f>SUM(AS34:AV34)</f>
        <v>0</v>
      </c>
      <c r="AY34" s="377">
        <v>0</v>
      </c>
      <c r="AZ34" s="5">
        <v>0</v>
      </c>
      <c r="BA34" s="5">
        <v>0</v>
      </c>
      <c r="BB34" s="5">
        <v>0</v>
      </c>
      <c r="BC34" s="317">
        <f>SUM(AY34:BB34)</f>
        <v>0</v>
      </c>
      <c r="BE34" s="377">
        <v>0</v>
      </c>
      <c r="BF34" s="5">
        <v>0</v>
      </c>
      <c r="BG34" s="5">
        <v>0</v>
      </c>
      <c r="BH34" s="5">
        <v>0</v>
      </c>
      <c r="BI34" s="317">
        <f>SUM(BE34:BH34)</f>
        <v>0</v>
      </c>
      <c r="BK34" s="377">
        <v>0</v>
      </c>
      <c r="BL34" s="5">
        <v>0</v>
      </c>
      <c r="BM34" s="5">
        <v>0</v>
      </c>
      <c r="BN34" s="5">
        <v>0</v>
      </c>
      <c r="BO34" s="317">
        <f>SUM(BK34:BN34)</f>
        <v>0</v>
      </c>
    </row>
    <row r="35" spans="1:67" ht="18.75">
      <c r="A35" s="463" t="s">
        <v>14</v>
      </c>
      <c r="C35" s="373">
        <v>-22576</v>
      </c>
      <c r="D35" s="10">
        <v>-22492</v>
      </c>
      <c r="E35" s="10">
        <v>-20675</v>
      </c>
      <c r="F35" s="494">
        <f>G35-SUM(C35:E35)</f>
        <v>-20065</v>
      </c>
      <c r="G35" s="304">
        <v>-85808</v>
      </c>
      <c r="I35" s="373">
        <v>-20270</v>
      </c>
      <c r="J35" s="10">
        <v>-20769</v>
      </c>
      <c r="K35" s="10">
        <v>-19916</v>
      </c>
      <c r="L35" s="494">
        <f t="shared" si="110"/>
        <v>-20139</v>
      </c>
      <c r="M35" s="304">
        <v>-81094</v>
      </c>
      <c r="O35" s="373">
        <v>-19764</v>
      </c>
      <c r="P35" s="10">
        <v>-20215</v>
      </c>
      <c r="Q35" s="10">
        <v>-19702</v>
      </c>
      <c r="R35" s="494">
        <f t="shared" si="111"/>
        <v>-18989</v>
      </c>
      <c r="S35" s="304">
        <v>-78670</v>
      </c>
      <c r="T35" s="500"/>
      <c r="U35" s="373">
        <v>-18787</v>
      </c>
      <c r="V35" s="10">
        <v>-18654</v>
      </c>
      <c r="W35" s="10">
        <v>-17407</v>
      </c>
      <c r="X35" s="494">
        <f t="shared" si="53"/>
        <v>-18272</v>
      </c>
      <c r="Y35" s="304">
        <v>-73120</v>
      </c>
      <c r="Z35" s="500"/>
      <c r="AA35" s="373">
        <v>-17918</v>
      </c>
      <c r="AB35" s="10">
        <v>-18051</v>
      </c>
      <c r="AC35" s="10">
        <v>-17984</v>
      </c>
      <c r="AD35" s="494">
        <f t="shared" si="54"/>
        <v>-23704</v>
      </c>
      <c r="AE35" s="304">
        <v>-77657</v>
      </c>
      <c r="AF35" s="500"/>
      <c r="AG35" s="373">
        <v>-25017</v>
      </c>
      <c r="AH35" s="10">
        <v>-26256</v>
      </c>
      <c r="AI35" s="10">
        <v>-28081</v>
      </c>
      <c r="AJ35" s="494">
        <f t="shared" si="55"/>
        <v>-28309</v>
      </c>
      <c r="AK35" s="515">
        <v>-107663</v>
      </c>
      <c r="AL35" s="540"/>
      <c r="AM35" s="15">
        <f>AM56*AM89</f>
        <v>-28673.563947864175</v>
      </c>
      <c r="AN35" s="15">
        <f>AN56*AN89</f>
        <v>-29199.374937838966</v>
      </c>
      <c r="AO35" s="15">
        <f>AO56*AO89</f>
        <v>-28517.838567323044</v>
      </c>
      <c r="AP35" s="15">
        <f>AP56*AP89</f>
        <v>-27858.226574808603</v>
      </c>
      <c r="AQ35" s="385">
        <f>AQ56*AQ89</f>
        <v>-28381.400809335977</v>
      </c>
      <c r="AS35" s="384">
        <f>AS56*AS89</f>
        <v>-27269.223411387196</v>
      </c>
      <c r="AT35" s="15">
        <f>AT56*AT89</f>
        <v>-27866.668500311644</v>
      </c>
      <c r="AU35" s="15">
        <f>AU56*AU89</f>
        <v>-27525.538628177244</v>
      </c>
      <c r="AV35" s="15">
        <f>AV56*AV89</f>
        <v>-26918.611173225632</v>
      </c>
      <c r="AW35" s="385">
        <f>AW56*AW89</f>
        <v>-27192.325825397384</v>
      </c>
      <c r="AY35" s="384">
        <f>AY56*AY89</f>
        <v>-26203.782985709768</v>
      </c>
      <c r="AZ35" s="15">
        <f>AZ56*AZ89</f>
        <v>-26778.213624531658</v>
      </c>
      <c r="BA35" s="15">
        <f>BA56*BA89</f>
        <v>-26579.847810769807</v>
      </c>
      <c r="BB35" s="15">
        <f>BB56*BB89</f>
        <v>-25684.72574738062</v>
      </c>
      <c r="BC35" s="385">
        <f>BC56*BC89</f>
        <v>-26091.186545640052</v>
      </c>
      <c r="BE35" s="384">
        <f>BE56*BE89</f>
        <v>-24977.19209247674</v>
      </c>
      <c r="BF35" s="15">
        <f>BF56*BF89</f>
        <v>-25507.730950761237</v>
      </c>
      <c r="BG35" s="15">
        <f>BG56*BG89</f>
        <v>-25375.998038693568</v>
      </c>
      <c r="BH35" s="15">
        <f>BH56*BH89</f>
        <v>-24525.602244976424</v>
      </c>
      <c r="BI35" s="385">
        <f>BI56*BI89</f>
        <v>-24840.419335183247</v>
      </c>
      <c r="BK35" s="384">
        <f>BK56*BK89</f>
        <v>-24143.107364869757</v>
      </c>
      <c r="BL35" s="15">
        <f>BL56*BL89</f>
        <v>-24581.578310568184</v>
      </c>
      <c r="BM35" s="15">
        <f>BM56*BM89</f>
        <v>-24516.422575053199</v>
      </c>
      <c r="BN35" s="15">
        <f>BN56*BN89</f>
        <v>-23379.245931850928</v>
      </c>
      <c r="BO35" s="385">
        <f>BO56*BO89</f>
        <v>-23875.588819381646</v>
      </c>
    </row>
    <row r="36" spans="1:67" ht="15">
      <c r="A36" s="466" t="s">
        <v>88</v>
      </c>
      <c r="C36" s="374">
        <f t="shared" ref="C36:AK36" si="112">C31+(SUM(C32:C35))</f>
        <v>-18692</v>
      </c>
      <c r="D36" s="11">
        <f t="shared" si="112"/>
        <v>49096</v>
      </c>
      <c r="E36" s="11">
        <f t="shared" si="112"/>
        <v>24633</v>
      </c>
      <c r="F36" s="11">
        <f>F31+(SUM(F32:F35))</f>
        <v>3652</v>
      </c>
      <c r="G36" s="305">
        <f>G31+(SUM(G32:G35))</f>
        <v>58689</v>
      </c>
      <c r="I36" s="374">
        <f t="shared" si="112"/>
        <v>-9578</v>
      </c>
      <c r="J36" s="11">
        <f t="shared" si="112"/>
        <v>44430</v>
      </c>
      <c r="K36" s="11">
        <f t="shared" si="112"/>
        <v>42364</v>
      </c>
      <c r="L36" s="11">
        <f t="shared" si="112"/>
        <v>17266</v>
      </c>
      <c r="M36" s="305">
        <f t="shared" si="112"/>
        <v>94482</v>
      </c>
      <c r="O36" s="374">
        <f t="shared" si="112"/>
        <v>6953</v>
      </c>
      <c r="P36" s="11">
        <f t="shared" si="112"/>
        <v>52269</v>
      </c>
      <c r="Q36" s="11">
        <f t="shared" si="112"/>
        <v>54119</v>
      </c>
      <c r="R36" s="11">
        <f t="shared" si="112"/>
        <v>34898</v>
      </c>
      <c r="S36" s="305">
        <f t="shared" si="112"/>
        <v>148239</v>
      </c>
      <c r="T36" s="500"/>
      <c r="U36" s="374">
        <f t="shared" si="112"/>
        <v>21270</v>
      </c>
      <c r="V36" s="11">
        <f t="shared" si="112"/>
        <v>40882</v>
      </c>
      <c r="W36" s="11">
        <f t="shared" si="112"/>
        <v>68622</v>
      </c>
      <c r="X36" s="11">
        <f t="shared" si="112"/>
        <v>43776</v>
      </c>
      <c r="Y36" s="305">
        <f t="shared" si="112"/>
        <v>174550</v>
      </c>
      <c r="Z36" s="500"/>
      <c r="AA36" s="374">
        <f t="shared" si="112"/>
        <v>31709</v>
      </c>
      <c r="AB36" s="11">
        <f t="shared" si="112"/>
        <v>90470</v>
      </c>
      <c r="AC36" s="11">
        <f t="shared" si="112"/>
        <v>87048</v>
      </c>
      <c r="AD36" s="11">
        <f t="shared" si="112"/>
        <v>60488</v>
      </c>
      <c r="AE36" s="305">
        <f t="shared" si="112"/>
        <v>269715</v>
      </c>
      <c r="AF36" s="500"/>
      <c r="AG36" s="374">
        <f t="shared" si="112"/>
        <v>62780</v>
      </c>
      <c r="AH36" s="11">
        <f>AH31+(SUM(AH32:AH35))</f>
        <v>195043</v>
      </c>
      <c r="AI36" s="11">
        <f t="shared" si="112"/>
        <v>181110</v>
      </c>
      <c r="AJ36" s="11">
        <f t="shared" si="112"/>
        <v>99065</v>
      </c>
      <c r="AK36" s="516">
        <f t="shared" si="112"/>
        <v>537998</v>
      </c>
      <c r="AL36" s="540"/>
      <c r="AM36" s="11">
        <f>AM31+(SUM(AM32:AM35))</f>
        <v>81002.926316230398</v>
      </c>
      <c r="AN36" s="11">
        <f t="shared" ref="AN36:BO36" si="113">AN31+(SUM(AN32:AN35))</f>
        <v>154668.63372434917</v>
      </c>
      <c r="AO36" s="11">
        <f t="shared" si="113"/>
        <v>152783.99802739275</v>
      </c>
      <c r="AP36" s="11">
        <f t="shared" si="113"/>
        <v>100346.56939416479</v>
      </c>
      <c r="AQ36" s="305">
        <f t="shared" si="113"/>
        <v>574669.73068063613</v>
      </c>
      <c r="AS36" s="374">
        <f t="shared" si="113"/>
        <v>95971.645496972153</v>
      </c>
      <c r="AT36" s="11">
        <f t="shared" si="113"/>
        <v>169528.98695840777</v>
      </c>
      <c r="AU36" s="11">
        <f t="shared" si="113"/>
        <v>166112.35227286976</v>
      </c>
      <c r="AV36" s="11">
        <f t="shared" si="113"/>
        <v>114094.19796320872</v>
      </c>
      <c r="AW36" s="305">
        <f t="shared" si="113"/>
        <v>628094.89857916383</v>
      </c>
      <c r="AY36" s="374">
        <f t="shared" si="113"/>
        <v>99697.764000648545</v>
      </c>
      <c r="AZ36" s="11">
        <f t="shared" si="113"/>
        <v>167676.94752380205</v>
      </c>
      <c r="BA36" s="11">
        <f t="shared" si="113"/>
        <v>168039.24701903565</v>
      </c>
      <c r="BB36" s="11">
        <f t="shared" si="113"/>
        <v>144150.63750324206</v>
      </c>
      <c r="BC36" s="305">
        <f t="shared" si="113"/>
        <v>658719.97966947895</v>
      </c>
      <c r="BE36" s="374">
        <f t="shared" si="113"/>
        <v>117058.15778760531</v>
      </c>
      <c r="BF36" s="11">
        <f t="shared" si="113"/>
        <v>215780.70591617358</v>
      </c>
      <c r="BG36" s="11">
        <f t="shared" si="113"/>
        <v>207614.5651072388</v>
      </c>
      <c r="BH36" s="11">
        <f t="shared" si="113"/>
        <v>175449.08867343466</v>
      </c>
      <c r="BI36" s="305">
        <f t="shared" si="113"/>
        <v>791448.62147617794</v>
      </c>
      <c r="BK36" s="374">
        <f t="shared" si="113"/>
        <v>123787.8466262349</v>
      </c>
      <c r="BL36" s="11">
        <f t="shared" si="113"/>
        <v>229520.96386906045</v>
      </c>
      <c r="BM36" s="11">
        <f t="shared" si="113"/>
        <v>219525.29257641829</v>
      </c>
      <c r="BN36" s="11">
        <f t="shared" si="113"/>
        <v>159017.21162933481</v>
      </c>
      <c r="BO36" s="305">
        <f t="shared" si="113"/>
        <v>804596.08006400976</v>
      </c>
    </row>
    <row r="37" spans="1:67" ht="18.75">
      <c r="A37" s="463" t="s">
        <v>89</v>
      </c>
      <c r="C37" s="373">
        <v>2701</v>
      </c>
      <c r="D37" s="10">
        <v>23216</v>
      </c>
      <c r="E37" s="10">
        <v>12575</v>
      </c>
      <c r="F37" s="494">
        <f t="shared" si="109"/>
        <v>-80542</v>
      </c>
      <c r="G37" s="304">
        <v>-42050</v>
      </c>
      <c r="I37" s="373">
        <v>3053</v>
      </c>
      <c r="J37" s="10">
        <v>13683</v>
      </c>
      <c r="K37" s="10">
        <v>11275</v>
      </c>
      <c r="L37" s="494">
        <f t="shared" si="110"/>
        <v>835</v>
      </c>
      <c r="M37" s="304">
        <v>28846</v>
      </c>
      <c r="O37" s="373">
        <v>5977</v>
      </c>
      <c r="P37" s="10">
        <v>16025</v>
      </c>
      <c r="Q37" s="10">
        <v>17750</v>
      </c>
      <c r="R37" s="494">
        <f t="shared" si="111"/>
        <v>10747</v>
      </c>
      <c r="S37" s="304">
        <v>50499</v>
      </c>
      <c r="T37" s="500"/>
      <c r="U37" s="373">
        <v>9698</v>
      </c>
      <c r="V37" s="10">
        <v>11859</v>
      </c>
      <c r="W37" s="10">
        <v>13712</v>
      </c>
      <c r="X37" s="494">
        <f t="shared" si="53"/>
        <v>4444</v>
      </c>
      <c r="Y37" s="304">
        <v>39713</v>
      </c>
      <c r="Z37" s="500"/>
      <c r="AA37" s="373">
        <v>9973</v>
      </c>
      <c r="AB37" s="10">
        <v>23395</v>
      </c>
      <c r="AC37" s="10">
        <v>21605</v>
      </c>
      <c r="AD37" s="494">
        <f t="shared" si="54"/>
        <v>11495</v>
      </c>
      <c r="AE37" s="304">
        <v>66468</v>
      </c>
      <c r="AF37" s="500"/>
      <c r="AG37" s="373">
        <v>17466</v>
      </c>
      <c r="AH37" s="10">
        <v>46886</v>
      </c>
      <c r="AI37" s="10">
        <v>45311</v>
      </c>
      <c r="AJ37" s="494">
        <f t="shared" si="55"/>
        <v>16591</v>
      </c>
      <c r="AK37" s="515">
        <v>126254</v>
      </c>
      <c r="AL37" s="540"/>
      <c r="AM37" s="15">
        <f>AM57*AM36</f>
        <v>18959.919734553034</v>
      </c>
      <c r="AN37" s="15">
        <f>AN57*AN36</f>
        <v>36202.456062122073</v>
      </c>
      <c r="AO37" s="15">
        <f>AO57*AO36</f>
        <v>35761.329510672935</v>
      </c>
      <c r="AP37" s="15">
        <f>AP57*AP36</f>
        <v>23487.582336515017</v>
      </c>
      <c r="AQ37" s="304">
        <f>SUM(AM37:AP37)</f>
        <v>114411.28764386306</v>
      </c>
      <c r="AS37" s="384">
        <f>AS57*AS36</f>
        <v>22463.567406341681</v>
      </c>
      <c r="AT37" s="15">
        <f>AT57*AT36</f>
        <v>39680.73909902024</v>
      </c>
      <c r="AU37" s="15">
        <f>AU57*AU36</f>
        <v>38881.025775736132</v>
      </c>
      <c r="AV37" s="15">
        <f>AV57*AV36</f>
        <v>26705.415889736836</v>
      </c>
      <c r="AW37" s="304">
        <f>SUM(AS37:AV37)</f>
        <v>127730.74817083489</v>
      </c>
      <c r="AY37" s="384">
        <f>AY57*AY36</f>
        <v>23335.719944082553</v>
      </c>
      <c r="AZ37" s="15">
        <f>AZ57*AZ36</f>
        <v>39247.242179559995</v>
      </c>
      <c r="BA37" s="15">
        <f>BA57*BA36</f>
        <v>39332.043675776084</v>
      </c>
      <c r="BB37" s="15">
        <f>BB57*BB36</f>
        <v>33740.5651997846</v>
      </c>
      <c r="BC37" s="304">
        <f>SUM(AY37:BB37)</f>
        <v>135655.57099920325</v>
      </c>
      <c r="BE37" s="384">
        <f>BE57*BE36</f>
        <v>27399.174040493166</v>
      </c>
      <c r="BF37" s="15">
        <f>BF57*BF36</f>
        <v>50506.630445227522</v>
      </c>
      <c r="BG37" s="15">
        <f>BG57*BG36</f>
        <v>48595.225742710762</v>
      </c>
      <c r="BH37" s="15">
        <f>BH57*BH36</f>
        <v>41066.425498781944</v>
      </c>
      <c r="BI37" s="304">
        <f>SUM(BE37:BH37)</f>
        <v>167567.45572721341</v>
      </c>
      <c r="BK37" s="384">
        <f>BK57*BK36</f>
        <v>28974.356148369294</v>
      </c>
      <c r="BL37" s="15">
        <f>BL57*BL36</f>
        <v>53722.738797927741</v>
      </c>
      <c r="BM37" s="15">
        <f>BM57*BM36</f>
        <v>51383.105725147034</v>
      </c>
      <c r="BN37" s="15">
        <f>BN57*BN36</f>
        <v>37220.30432745639</v>
      </c>
      <c r="BO37" s="304">
        <f>SUM(BK37:BN37)</f>
        <v>171300.50499890046</v>
      </c>
    </row>
    <row r="38" spans="1:67" ht="15">
      <c r="A38" s="456" t="s">
        <v>80</v>
      </c>
      <c r="C38" s="347">
        <f>C36-C37</f>
        <v>-21393</v>
      </c>
      <c r="D38" s="9">
        <f t="shared" ref="D38:AK38" si="114">D36-D37</f>
        <v>25880</v>
      </c>
      <c r="E38" s="9">
        <f t="shared" si="114"/>
        <v>12058</v>
      </c>
      <c r="F38" s="9">
        <f t="shared" si="114"/>
        <v>84194</v>
      </c>
      <c r="G38" s="296">
        <f t="shared" si="114"/>
        <v>100739</v>
      </c>
      <c r="I38" s="347">
        <f t="shared" si="114"/>
        <v>-12631</v>
      </c>
      <c r="J38" s="9">
        <f t="shared" si="114"/>
        <v>30747</v>
      </c>
      <c r="K38" s="9">
        <f>K36-K37</f>
        <v>31089</v>
      </c>
      <c r="L38" s="9">
        <f t="shared" si="114"/>
        <v>16431</v>
      </c>
      <c r="M38" s="296">
        <f t="shared" si="114"/>
        <v>65636</v>
      </c>
      <c r="O38" s="347">
        <f>O36-O37</f>
        <v>976</v>
      </c>
      <c r="P38" s="9">
        <f t="shared" si="114"/>
        <v>36244</v>
      </c>
      <c r="Q38" s="9">
        <f t="shared" si="114"/>
        <v>36369</v>
      </c>
      <c r="R38" s="9">
        <f t="shared" si="114"/>
        <v>24151</v>
      </c>
      <c r="S38" s="296">
        <f t="shared" si="114"/>
        <v>97740</v>
      </c>
      <c r="T38" s="500"/>
      <c r="U38" s="347">
        <f t="shared" si="114"/>
        <v>11572</v>
      </c>
      <c r="V38" s="9">
        <f t="shared" si="114"/>
        <v>29023</v>
      </c>
      <c r="W38" s="9">
        <f t="shared" si="114"/>
        <v>54910</v>
      </c>
      <c r="X38" s="9">
        <f t="shared" si="114"/>
        <v>39332</v>
      </c>
      <c r="Y38" s="296">
        <f t="shared" si="114"/>
        <v>134837</v>
      </c>
      <c r="Z38" s="500"/>
      <c r="AA38" s="347">
        <f t="shared" si="114"/>
        <v>21736</v>
      </c>
      <c r="AB38" s="9">
        <f t="shared" si="114"/>
        <v>67075</v>
      </c>
      <c r="AC38" s="9">
        <f t="shared" si="114"/>
        <v>65443</v>
      </c>
      <c r="AD38" s="9">
        <f t="shared" si="114"/>
        <v>48993</v>
      </c>
      <c r="AE38" s="296">
        <f t="shared" si="114"/>
        <v>203247</v>
      </c>
      <c r="AF38" s="500"/>
      <c r="AG38" s="347">
        <f t="shared" si="114"/>
        <v>45314</v>
      </c>
      <c r="AH38" s="9">
        <f t="shared" si="114"/>
        <v>148157</v>
      </c>
      <c r="AI38" s="9">
        <f t="shared" si="114"/>
        <v>135799</v>
      </c>
      <c r="AJ38" s="9">
        <f>AJ36-AJ37</f>
        <v>82474</v>
      </c>
      <c r="AK38" s="506">
        <f t="shared" si="114"/>
        <v>411744</v>
      </c>
      <c r="AL38" s="540"/>
      <c r="AM38" s="9">
        <f>AM36-AM37</f>
        <v>62043.006581677364</v>
      </c>
      <c r="AN38" s="9">
        <f>AN36-AN37</f>
        <v>118466.1776622271</v>
      </c>
      <c r="AO38" s="9">
        <f t="shared" ref="AO38" si="115">AO36-AO37</f>
        <v>117022.66851671982</v>
      </c>
      <c r="AP38" s="9">
        <f t="shared" ref="AP38" si="116">AP36-AP37</f>
        <v>76858.987057649778</v>
      </c>
      <c r="AQ38" s="296">
        <f>AQ36-AQ37</f>
        <v>460258.44303677307</v>
      </c>
      <c r="AS38" s="347">
        <f t="shared" ref="AS38" si="117">AS36-AS37</f>
        <v>73508.078090630472</v>
      </c>
      <c r="AT38" s="9">
        <f t="shared" ref="AT38" si="118">AT36-AT37</f>
        <v>129848.24785938753</v>
      </c>
      <c r="AU38" s="9">
        <f t="shared" ref="AU38" si="119">AU36-AU37</f>
        <v>127231.32649713362</v>
      </c>
      <c r="AV38" s="9">
        <f t="shared" ref="AV38" si="120">AV36-AV37</f>
        <v>87388.782073471884</v>
      </c>
      <c r="AW38" s="296">
        <f t="shared" ref="AW38" si="121">AW36-AW37</f>
        <v>500364.15040832892</v>
      </c>
      <c r="AY38" s="347">
        <f t="shared" ref="AY38" si="122">AY36-AY37</f>
        <v>76362.044056565996</v>
      </c>
      <c r="AZ38" s="9">
        <f t="shared" ref="AZ38" si="123">AZ36-AZ37</f>
        <v>128429.70534424206</v>
      </c>
      <c r="BA38" s="9">
        <f t="shared" ref="BA38" si="124">BA36-BA37</f>
        <v>128707.20334325958</v>
      </c>
      <c r="BB38" s="9">
        <f t="shared" ref="BB38" si="125">BB36-BB37</f>
        <v>110410.07230345746</v>
      </c>
      <c r="BC38" s="296">
        <f t="shared" ref="BC38" si="126">BC36-BC37</f>
        <v>523064.4086702757</v>
      </c>
      <c r="BE38" s="347">
        <f t="shared" ref="BE38" si="127">BE36-BE37</f>
        <v>89658.983747112143</v>
      </c>
      <c r="BF38" s="9">
        <f t="shared" ref="BF38" si="128">BF36-BF37</f>
        <v>165274.07547094606</v>
      </c>
      <c r="BG38" s="9">
        <f t="shared" ref="BG38" si="129">BG36-BG37</f>
        <v>159019.33936452804</v>
      </c>
      <c r="BH38" s="9">
        <f t="shared" ref="BH38" si="130">BH36-BH37</f>
        <v>134382.66317465273</v>
      </c>
      <c r="BI38" s="296">
        <f t="shared" ref="BI38" si="131">BI36-BI37</f>
        <v>623881.16574896453</v>
      </c>
      <c r="BK38" s="347">
        <f t="shared" ref="BK38" si="132">BK36-BK37</f>
        <v>94813.490477865605</v>
      </c>
      <c r="BL38" s="9">
        <f t="shared" ref="BL38" si="133">BL36-BL37</f>
        <v>175798.22507113271</v>
      </c>
      <c r="BM38" s="9">
        <f t="shared" ref="BM38" si="134">BM36-BM37</f>
        <v>168142.18685127125</v>
      </c>
      <c r="BN38" s="9">
        <f t="shared" ref="BN38" si="135">BN36-BN37</f>
        <v>121796.90730187841</v>
      </c>
      <c r="BO38" s="296">
        <f>BO36-BO37</f>
        <v>633295.5750651093</v>
      </c>
    </row>
    <row r="39" spans="1:67">
      <c r="A39" s="466"/>
      <c r="C39" s="395"/>
      <c r="D39" s="18"/>
      <c r="E39" s="18"/>
      <c r="F39" s="18"/>
      <c r="G39" s="392"/>
      <c r="I39" s="395"/>
      <c r="J39" s="18"/>
      <c r="K39" s="18"/>
      <c r="L39" s="18"/>
      <c r="M39" s="392"/>
      <c r="O39" s="395"/>
      <c r="P39" s="18"/>
      <c r="Q39" s="18"/>
      <c r="R39" s="18"/>
      <c r="S39" s="392"/>
      <c r="T39" s="500"/>
      <c r="U39" s="395"/>
      <c r="V39" s="18"/>
      <c r="W39" s="18"/>
      <c r="X39" s="18"/>
      <c r="Y39" s="392"/>
      <c r="Z39" s="500"/>
      <c r="AA39" s="395"/>
      <c r="AB39" s="18"/>
      <c r="AC39" s="18"/>
      <c r="AD39" s="18"/>
      <c r="AE39" s="392"/>
      <c r="AF39" s="500"/>
      <c r="AG39" s="395"/>
      <c r="AH39" s="18"/>
      <c r="AI39" s="18"/>
      <c r="AJ39" s="18"/>
      <c r="AK39" s="518"/>
      <c r="AL39" s="540"/>
      <c r="AN39" s="5"/>
      <c r="AO39" s="5"/>
      <c r="AP39" s="5"/>
      <c r="AQ39" s="386"/>
      <c r="AS39" s="377"/>
      <c r="AT39" s="5"/>
      <c r="AU39" s="5"/>
      <c r="AV39" s="5"/>
      <c r="AW39" s="386"/>
      <c r="AY39" s="377"/>
      <c r="AZ39" s="5"/>
      <c r="BA39" s="5"/>
      <c r="BB39" s="5"/>
      <c r="BC39" s="386"/>
      <c r="BE39" s="377"/>
      <c r="BF39" s="5"/>
      <c r="BG39" s="5"/>
      <c r="BH39" s="5"/>
      <c r="BI39" s="386"/>
      <c r="BK39" s="377"/>
      <c r="BL39" s="5"/>
      <c r="BM39" s="5"/>
      <c r="BN39" s="5"/>
      <c r="BO39" s="386"/>
    </row>
    <row r="40" spans="1:67">
      <c r="A40" s="466" t="s">
        <v>12</v>
      </c>
      <c r="C40" s="395"/>
      <c r="D40" s="18"/>
      <c r="E40" s="18"/>
      <c r="F40" s="18"/>
      <c r="G40" s="392"/>
      <c r="I40" s="395"/>
      <c r="J40" s="18"/>
      <c r="K40" s="18"/>
      <c r="L40" s="18"/>
      <c r="M40" s="392"/>
      <c r="O40" s="395"/>
      <c r="P40" s="18"/>
      <c r="Q40" s="18"/>
      <c r="R40" s="18"/>
      <c r="S40" s="392"/>
      <c r="T40" s="500"/>
      <c r="U40" s="395"/>
      <c r="V40" s="18"/>
      <c r="W40" s="18"/>
      <c r="X40" s="18"/>
      <c r="Y40" s="392"/>
      <c r="Z40" s="500"/>
      <c r="AA40" s="395"/>
      <c r="AB40" s="18"/>
      <c r="AC40" s="18"/>
      <c r="AD40" s="18"/>
      <c r="AE40" s="392"/>
      <c r="AF40" s="500"/>
      <c r="AG40" s="395"/>
      <c r="AH40" s="18"/>
      <c r="AI40" s="18"/>
      <c r="AJ40" s="18"/>
      <c r="AK40" s="518"/>
      <c r="AL40" s="540"/>
      <c r="AM40" s="5"/>
      <c r="AN40" s="5"/>
      <c r="AO40" s="5"/>
      <c r="AP40" s="5"/>
      <c r="AQ40" s="386"/>
      <c r="AS40" s="377"/>
      <c r="AT40" s="5"/>
      <c r="AU40" s="5"/>
      <c r="AV40" s="5"/>
      <c r="AW40" s="386"/>
      <c r="AY40" s="377"/>
      <c r="AZ40" s="5"/>
      <c r="BA40" s="5"/>
      <c r="BB40" s="5"/>
      <c r="BC40" s="386"/>
      <c r="BE40" s="377"/>
      <c r="BF40" s="5"/>
      <c r="BG40" s="5"/>
      <c r="BH40" s="5"/>
      <c r="BI40" s="386"/>
      <c r="BK40" s="377"/>
      <c r="BL40" s="5"/>
      <c r="BM40" s="5"/>
      <c r="BN40" s="5"/>
      <c r="BO40" s="386"/>
    </row>
    <row r="41" spans="1:67" hidden="1">
      <c r="A41" s="467" t="s">
        <v>7</v>
      </c>
      <c r="C41" s="495">
        <f>C38/C43</f>
        <v>-0.37359854702944362</v>
      </c>
      <c r="D41" s="25">
        <f>D38/D43</f>
        <v>0.45252666550096171</v>
      </c>
      <c r="E41" s="25">
        <f>E38/E43</f>
        <v>0.21142145775252924</v>
      </c>
      <c r="F41" s="25">
        <f>F38/F43</f>
        <v>1.4752242781048499</v>
      </c>
      <c r="G41" s="387">
        <f>G38/G43</f>
        <v>1.7651212503504345</v>
      </c>
      <c r="I41" s="495">
        <f>I38/I43</f>
        <v>-0.2237277928334839</v>
      </c>
      <c r="J41" s="25">
        <f>J38/J43</f>
        <v>0.54506293210423684</v>
      </c>
      <c r="K41" s="25">
        <f>K38/K43</f>
        <v>0.5545764284057868</v>
      </c>
      <c r="L41" s="25">
        <f>L38/L43</f>
        <v>0.29794371509392908</v>
      </c>
      <c r="M41" s="387">
        <f>M38/M43</f>
        <v>1.1689819762057421</v>
      </c>
      <c r="O41" s="495">
        <f>O38/O43</f>
        <v>1.7476006302821947E-2</v>
      </c>
      <c r="P41" s="25">
        <f>P38/P43</f>
        <v>0.64866219239373601</v>
      </c>
      <c r="Q41" s="25">
        <f>Q38/Q43</f>
        <v>0.65119068934646374</v>
      </c>
      <c r="R41" s="25">
        <f>R38/R43</f>
        <v>0.44686835044870016</v>
      </c>
      <c r="S41" s="387">
        <f>S38/S43</f>
        <v>1.7502014504431909</v>
      </c>
      <c r="T41" s="500"/>
      <c r="U41" s="495">
        <f>U38/U43</f>
        <v>0.20754344745951181</v>
      </c>
      <c r="V41" s="25">
        <f>V38/V43</f>
        <v>0.52209030401151291</v>
      </c>
      <c r="W41" s="25">
        <f>W38/W43</f>
        <v>0.98773204777665846</v>
      </c>
      <c r="X41" s="25">
        <f>X38/X43</f>
        <v>0.70895293714738905</v>
      </c>
      <c r="Y41" s="387">
        <f>Y38/Y43</f>
        <v>2.4304151120243698</v>
      </c>
      <c r="Z41" s="500"/>
      <c r="AA41" s="495">
        <f>AA38/AA43</f>
        <v>0.39720044588198744</v>
      </c>
      <c r="AB41" s="25">
        <f>AB38/AB43</f>
        <v>1.2300794072878651</v>
      </c>
      <c r="AC41" s="25">
        <f>AC38/AC43</f>
        <v>1.2027531197735752</v>
      </c>
      <c r="AD41" s="25">
        <f>AD38/AD43</f>
        <v>0.89872326374876177</v>
      </c>
      <c r="AE41" s="387">
        <f>AE38/AE43</f>
        <v>3.7283450122904207</v>
      </c>
      <c r="AF41" s="500"/>
      <c r="AG41" s="495">
        <f>AG38/AG43</f>
        <v>0.83285546243199526</v>
      </c>
      <c r="AH41" s="25">
        <f>AH38/AH43</f>
        <v>2.7275856990316285</v>
      </c>
      <c r="AI41" s="25">
        <f>AI38/AI43</f>
        <v>2.5096375967917797</v>
      </c>
      <c r="AJ41" s="25">
        <f>AJ38/AJ43</f>
        <v>1.5210150674068199</v>
      </c>
      <c r="AK41" s="519">
        <f>AK38/AK43</f>
        <v>7.593530420670195</v>
      </c>
      <c r="AL41" s="540"/>
      <c r="AM41" s="17">
        <f>AM38/AM43</f>
        <v>1.1442193641384166</v>
      </c>
      <c r="AN41" s="17">
        <f>AN38/AN43</f>
        <v>2.1847957077665767</v>
      </c>
      <c r="AO41" s="17">
        <f>AO38/AO43</f>
        <v>2.1581739947387608</v>
      </c>
      <c r="AP41" s="17">
        <f>AP38/AP43</f>
        <v>1.417460986253984</v>
      </c>
      <c r="AQ41" s="387">
        <f>AQ38/AQ43</f>
        <v>8.4882511671573511</v>
      </c>
      <c r="AS41" s="379">
        <f>AS38/AS43</f>
        <v>1.3556623220889747</v>
      </c>
      <c r="AT41" s="17">
        <f>AT38/AT43</f>
        <v>2.3947079257766544</v>
      </c>
      <c r="AU41" s="17">
        <f>AU38/AU43</f>
        <v>2.3464457240863399</v>
      </c>
      <c r="AV41" s="17">
        <f>AV38/AV43</f>
        <v>1.6116552399069008</v>
      </c>
      <c r="AW41" s="387">
        <f>AW38/AW43</f>
        <v>9.2278949967417692</v>
      </c>
      <c r="AY41" s="379">
        <f>AY38/AY43</f>
        <v>1.4082961853192555</v>
      </c>
      <c r="AZ41" s="17">
        <f>AZ38/AZ43</f>
        <v>2.3685466562942303</v>
      </c>
      <c r="BA41" s="17">
        <f>BA38/BA43</f>
        <v>2.3736643738498344</v>
      </c>
      <c r="BB41" s="17">
        <f>BB38/BB43</f>
        <v>2.0362221253611468</v>
      </c>
      <c r="BC41" s="387">
        <f>BC38/BC43</f>
        <v>9.6465412955807626</v>
      </c>
      <c r="BE41" s="379">
        <f>BE38/BE43</f>
        <v>1.6535231128324168</v>
      </c>
      <c r="BF41" s="17">
        <f>BF38/BF43</f>
        <v>3.0480437355171435</v>
      </c>
      <c r="BG41" s="17">
        <f>BG38/BG43</f>
        <v>2.9326916504901619</v>
      </c>
      <c r="BH41" s="17">
        <f>BH38/BH43</f>
        <v>2.4783332381950967</v>
      </c>
      <c r="BI41" s="387">
        <f>BI38/BI43</f>
        <v>11.505840063238193</v>
      </c>
      <c r="BK41" s="379">
        <f>BK38/BK43</f>
        <v>1.7485843733815098</v>
      </c>
      <c r="BL41" s="17">
        <f>BL38/BL43</f>
        <v>3.2421338743915444</v>
      </c>
      <c r="BM41" s="17">
        <f>BM38/BM43</f>
        <v>3.1009384735494394</v>
      </c>
      <c r="BN41" s="17">
        <f>BN38/BN43</f>
        <v>2.2462222175438176</v>
      </c>
      <c r="BO41" s="387">
        <f>BO38/BO43</f>
        <v>11.679463974053617</v>
      </c>
    </row>
    <row r="42" spans="1:67">
      <c r="A42" s="467" t="s">
        <v>8</v>
      </c>
      <c r="C42" s="495">
        <f>C38/C44</f>
        <v>-0.37359854702944362</v>
      </c>
      <c r="D42" s="25">
        <f>D38/D44</f>
        <v>0.45137435468117759</v>
      </c>
      <c r="E42" s="25">
        <f>E38/E44</f>
        <v>0.21082262435527582</v>
      </c>
      <c r="F42" s="25">
        <f>F38/F44</f>
        <v>1.4719230769230769</v>
      </c>
      <c r="G42" s="387">
        <f>G38/G44</f>
        <v>1.7611713286713286</v>
      </c>
      <c r="I42" s="495">
        <f>I38/I44</f>
        <v>-0.2237277928334839</v>
      </c>
      <c r="J42" s="25">
        <f>J38/J44</f>
        <v>0.54414653570480487</v>
      </c>
      <c r="K42" s="25">
        <f>K38/K44</f>
        <v>0.55229077472420107</v>
      </c>
      <c r="L42" s="25">
        <f>L38/L44</f>
        <v>0.29164004259850906</v>
      </c>
      <c r="M42" s="387">
        <f>M38/M44</f>
        <v>1.1649982250621229</v>
      </c>
      <c r="O42" s="495">
        <f>O38/O44</f>
        <v>1.7403088334938126E-2</v>
      </c>
      <c r="P42" s="25">
        <f>P38/P44</f>
        <v>0.64645239539114618</v>
      </c>
      <c r="Q42" s="25">
        <f>Q38/Q44</f>
        <v>0.64753850262619073</v>
      </c>
      <c r="R42" s="25">
        <f>R38/R44</f>
        <v>0.4445323860185168</v>
      </c>
      <c r="S42" s="387">
        <f>S38/S44</f>
        <v>1.7413458283596714</v>
      </c>
      <c r="T42" s="500"/>
      <c r="U42" s="495">
        <f>U38/U44</f>
        <v>0.20644010346980643</v>
      </c>
      <c r="V42" s="25">
        <f>V38/V44</f>
        <v>0.52061060486474853</v>
      </c>
      <c r="W42" s="25">
        <f>W38/W44</f>
        <v>0.98514478452761134</v>
      </c>
      <c r="X42" s="25">
        <f>X38/X44</f>
        <v>0.69503445838487365</v>
      </c>
      <c r="Y42" s="387">
        <f>Y38/Y44</f>
        <v>2.4212066798347998</v>
      </c>
      <c r="Z42" s="500"/>
      <c r="AA42" s="495">
        <f>AA38/AA44</f>
        <v>0.39489126682775283</v>
      </c>
      <c r="AB42" s="25">
        <f>AB38/AB44</f>
        <v>1.222791409924527</v>
      </c>
      <c r="AC42" s="25">
        <f>AC38/AC44</f>
        <v>1.1962454530498838</v>
      </c>
      <c r="AD42" s="25">
        <f>AD38/AD44</f>
        <v>0.89630632443606961</v>
      </c>
      <c r="AE42" s="387">
        <f>AE38/AE44</f>
        <v>3.7115282774237142</v>
      </c>
      <c r="AF42" s="500"/>
      <c r="AG42" s="495">
        <f>AG38/AG44</f>
        <v>0.82883377231489608</v>
      </c>
      <c r="AH42" s="25">
        <f>AH38/AH44</f>
        <v>2.7136472699965202</v>
      </c>
      <c r="AI42" s="25">
        <f>AI38/AI44</f>
        <v>2.497177322962064</v>
      </c>
      <c r="AJ42" s="25">
        <f>AJ38/AJ44</f>
        <v>1.5164285582951809</v>
      </c>
      <c r="AK42" s="519">
        <f>AK38/AK44</f>
        <v>7.5567383045497092</v>
      </c>
      <c r="AL42" s="540"/>
      <c r="AM42" s="25">
        <f>AM38/AM44</f>
        <v>1.1455531597006854</v>
      </c>
      <c r="AN42" s="25">
        <f>AN38/AN44</f>
        <v>2.1963639849156351</v>
      </c>
      <c r="AO42" s="25">
        <f>AO38/AO44</f>
        <v>2.1784010833574454</v>
      </c>
      <c r="AP42" s="25">
        <f>AP38/AP44</f>
        <v>1.4364521720569832</v>
      </c>
      <c r="AQ42" s="387">
        <f>SUM(AM42:AP42)</f>
        <v>6.9567704000307486</v>
      </c>
      <c r="AR42" s="500"/>
      <c r="AS42" s="495">
        <f>AS38/AS44</f>
        <v>1.3792131169922461</v>
      </c>
      <c r="AT42" s="25">
        <f>AT38/AT44</f>
        <v>2.4457029277371212</v>
      </c>
      <c r="AU42" s="25">
        <f>AU38/AU44</f>
        <v>2.4054970921471948</v>
      </c>
      <c r="AV42" s="25">
        <f>AV38/AV44</f>
        <v>1.6583717127179849</v>
      </c>
      <c r="AW42" s="387">
        <f>SUM(AS42:AV42)</f>
        <v>7.888784849594547</v>
      </c>
      <c r="AX42" s="500"/>
      <c r="AY42" s="495">
        <f>AY38/AY44</f>
        <v>1.4544264473521171</v>
      </c>
      <c r="AZ42" s="25">
        <f>AZ38/AZ44</f>
        <v>2.4549389954932339</v>
      </c>
      <c r="BA42" s="25">
        <f>BA38/BA44</f>
        <v>2.4689506770826264</v>
      </c>
      <c r="BB42" s="25">
        <f>BB38/BB44</f>
        <v>2.1253296527305072</v>
      </c>
      <c r="BC42" s="387">
        <f>SUM(AY42:BB42)</f>
        <v>8.5036457726584835</v>
      </c>
      <c r="BD42" s="500"/>
      <c r="BE42" s="495">
        <f>BE38/BE44</f>
        <v>1.7317832421093566</v>
      </c>
      <c r="BF42" s="25">
        <f>BF38/BF44</f>
        <v>3.203029930634262</v>
      </c>
      <c r="BG42" s="25">
        <f>BG38/BG44</f>
        <v>3.0919860708222973</v>
      </c>
      <c r="BH42" s="25">
        <f>BH38/BH44</f>
        <v>2.6214241140694643</v>
      </c>
      <c r="BI42" s="387">
        <f>SUM(BE42:BH42)</f>
        <v>10.648223357635381</v>
      </c>
      <c r="BJ42" s="500"/>
      <c r="BK42" s="495">
        <f>BK38/BK44</f>
        <v>1.8554366744737165</v>
      </c>
      <c r="BL42" s="25">
        <f>BL38/BL44</f>
        <v>3.451026434413146</v>
      </c>
      <c r="BM42" s="25">
        <f>BM38/BM44</f>
        <v>3.3108879406032328</v>
      </c>
      <c r="BN42" s="25">
        <f>BN38/BN44</f>
        <v>2.4055510607852169</v>
      </c>
      <c r="BO42" s="387">
        <f>SUM(BK42:BN42)</f>
        <v>11.022902110275314</v>
      </c>
    </row>
    <row r="43" spans="1:67" hidden="1">
      <c r="A43" s="467" t="s">
        <v>9</v>
      </c>
      <c r="C43" s="393">
        <v>57262</v>
      </c>
      <c r="D43" s="8">
        <v>57190</v>
      </c>
      <c r="E43" s="8">
        <v>57033</v>
      </c>
      <c r="F43" s="24">
        <f>G43</f>
        <v>57072</v>
      </c>
      <c r="G43" s="317">
        <v>57072</v>
      </c>
      <c r="I43" s="393">
        <v>56457</v>
      </c>
      <c r="J43" s="8">
        <v>56410</v>
      </c>
      <c r="K43" s="8">
        <v>56059</v>
      </c>
      <c r="L43" s="24">
        <f>M43-1000</f>
        <v>55148</v>
      </c>
      <c r="M43" s="317">
        <v>56148</v>
      </c>
      <c r="O43" s="393">
        <v>55848</v>
      </c>
      <c r="P43" s="8">
        <v>55875</v>
      </c>
      <c r="Q43" s="8">
        <v>55850</v>
      </c>
      <c r="R43" s="24">
        <f>S43-1800</f>
        <v>54045</v>
      </c>
      <c r="S43" s="317">
        <v>55845</v>
      </c>
      <c r="T43" s="500"/>
      <c r="U43" s="393">
        <v>55757</v>
      </c>
      <c r="V43" s="8">
        <v>55590</v>
      </c>
      <c r="W43" s="8">
        <v>55592</v>
      </c>
      <c r="X43" s="24">
        <f>Y43</f>
        <v>55479</v>
      </c>
      <c r="Y43" s="317">
        <v>55479</v>
      </c>
      <c r="Z43" s="500"/>
      <c r="AA43" s="393">
        <v>54723</v>
      </c>
      <c r="AB43" s="8">
        <v>54529</v>
      </c>
      <c r="AC43" s="8">
        <v>54411</v>
      </c>
      <c r="AD43" s="24">
        <f>AE43</f>
        <v>54514</v>
      </c>
      <c r="AE43" s="317">
        <v>54514</v>
      </c>
      <c r="AF43" s="500"/>
      <c r="AG43" s="393">
        <v>54408</v>
      </c>
      <c r="AH43" s="8">
        <v>54318</v>
      </c>
      <c r="AI43" s="8">
        <v>54111</v>
      </c>
      <c r="AJ43" s="24">
        <f>AK43</f>
        <v>54223</v>
      </c>
      <c r="AK43" s="517">
        <v>54223</v>
      </c>
      <c r="AL43" s="540"/>
      <c r="AM43" s="5">
        <f>AK43</f>
        <v>54223</v>
      </c>
      <c r="AN43" s="5">
        <f t="shared" ref="AN43:BO43" si="136">AM43</f>
        <v>54223</v>
      </c>
      <c r="AO43" s="5">
        <f t="shared" si="136"/>
        <v>54223</v>
      </c>
      <c r="AP43" s="5">
        <f t="shared" si="136"/>
        <v>54223</v>
      </c>
      <c r="AQ43" s="386">
        <f>AP43</f>
        <v>54223</v>
      </c>
      <c r="AS43" s="377">
        <f>AQ43</f>
        <v>54223</v>
      </c>
      <c r="AT43" s="5">
        <f t="shared" si="136"/>
        <v>54223</v>
      </c>
      <c r="AU43" s="5">
        <f t="shared" si="136"/>
        <v>54223</v>
      </c>
      <c r="AV43" s="5">
        <f t="shared" si="136"/>
        <v>54223</v>
      </c>
      <c r="AW43" s="386">
        <f t="shared" si="136"/>
        <v>54223</v>
      </c>
      <c r="AY43" s="377">
        <f>AW43</f>
        <v>54223</v>
      </c>
      <c r="AZ43" s="5">
        <f t="shared" si="136"/>
        <v>54223</v>
      </c>
      <c r="BA43" s="5">
        <f t="shared" si="136"/>
        <v>54223</v>
      </c>
      <c r="BB43" s="5">
        <f t="shared" si="136"/>
        <v>54223</v>
      </c>
      <c r="BC43" s="386">
        <f t="shared" si="136"/>
        <v>54223</v>
      </c>
      <c r="BE43" s="377">
        <f>BC43</f>
        <v>54223</v>
      </c>
      <c r="BF43" s="5">
        <f t="shared" si="136"/>
        <v>54223</v>
      </c>
      <c r="BG43" s="5">
        <f t="shared" si="136"/>
        <v>54223</v>
      </c>
      <c r="BH43" s="5">
        <f t="shared" si="136"/>
        <v>54223</v>
      </c>
      <c r="BI43" s="386">
        <f t="shared" si="136"/>
        <v>54223</v>
      </c>
      <c r="BK43" s="377">
        <f>BI43</f>
        <v>54223</v>
      </c>
      <c r="BL43" s="5">
        <f t="shared" si="136"/>
        <v>54223</v>
      </c>
      <c r="BM43" s="5">
        <f t="shared" si="136"/>
        <v>54223</v>
      </c>
      <c r="BN43" s="5">
        <f t="shared" si="136"/>
        <v>54223</v>
      </c>
      <c r="BO43" s="386">
        <f t="shared" si="136"/>
        <v>54223</v>
      </c>
    </row>
    <row r="44" spans="1:67" ht="17.25" thickBot="1">
      <c r="A44" s="468" t="s">
        <v>357</v>
      </c>
      <c r="C44" s="496">
        <v>57262</v>
      </c>
      <c r="D44" s="497">
        <v>57336</v>
      </c>
      <c r="E44" s="497">
        <v>57195</v>
      </c>
      <c r="F44" s="498">
        <f>G44</f>
        <v>57200</v>
      </c>
      <c r="G44" s="499">
        <v>57200</v>
      </c>
      <c r="I44" s="496">
        <v>56457</v>
      </c>
      <c r="J44" s="497">
        <v>56505</v>
      </c>
      <c r="K44" s="497">
        <v>56291</v>
      </c>
      <c r="L44" s="498">
        <f>M44</f>
        <v>56340</v>
      </c>
      <c r="M44" s="499">
        <v>56340</v>
      </c>
      <c r="O44" s="496">
        <v>56082</v>
      </c>
      <c r="P44" s="497">
        <v>56066</v>
      </c>
      <c r="Q44" s="497">
        <v>56165</v>
      </c>
      <c r="R44" s="498">
        <f>S44-1800</f>
        <v>54329</v>
      </c>
      <c r="S44" s="499">
        <v>56129</v>
      </c>
      <c r="T44" s="500"/>
      <c r="U44" s="496">
        <v>56055</v>
      </c>
      <c r="V44" s="497">
        <v>55748</v>
      </c>
      <c r="W44" s="497">
        <v>55738</v>
      </c>
      <c r="X44" s="498">
        <v>56590</v>
      </c>
      <c r="Y44" s="499">
        <v>55690</v>
      </c>
      <c r="Z44" s="500"/>
      <c r="AA44" s="496">
        <v>55043</v>
      </c>
      <c r="AB44" s="497">
        <v>54854</v>
      </c>
      <c r="AC44" s="497">
        <v>54707</v>
      </c>
      <c r="AD44" s="498">
        <f>AE44-100</f>
        <v>54661</v>
      </c>
      <c r="AE44" s="499">
        <v>54761</v>
      </c>
      <c r="AF44" s="500"/>
      <c r="AG44" s="496">
        <v>54672</v>
      </c>
      <c r="AH44" s="497">
        <v>54597</v>
      </c>
      <c r="AI44" s="497">
        <v>54381</v>
      </c>
      <c r="AJ44" s="498">
        <f>AK44-100</f>
        <v>54387</v>
      </c>
      <c r="AK44" s="520">
        <v>54487</v>
      </c>
      <c r="AL44" s="540"/>
      <c r="AM44" s="327">
        <f>'Share Repurchase'!I9</f>
        <v>54159.866834890672</v>
      </c>
      <c r="AN44" s="327">
        <f>'Share Repurchase'!J9</f>
        <v>53937.406766746601</v>
      </c>
      <c r="AO44" s="327">
        <f>'Share Repurchase'!K9</f>
        <v>53719.523650052288</v>
      </c>
      <c r="AP44" s="327">
        <f>'Share Repurchase'!L9</f>
        <v>53506.123317415142</v>
      </c>
      <c r="AQ44" s="389">
        <f>AP44</f>
        <v>53506.123317415142</v>
      </c>
      <c r="AS44" s="388">
        <f>'Share Repurchase'!N9</f>
        <v>53297.113538867052</v>
      </c>
      <c r="AT44" s="327">
        <f>'Share Repurchase'!O9</f>
        <v>53092.403982003329</v>
      </c>
      <c r="AU44" s="327">
        <f>'Share Repurchase'!P9</f>
        <v>52891.906172941737</v>
      </c>
      <c r="AV44" s="327">
        <f>'Share Repurchase'!Q9</f>
        <v>52695.533458084748</v>
      </c>
      <c r="AW44" s="389">
        <f t="shared" ref="AW44:BO44" si="137">AV44</f>
        <v>52695.533458084748</v>
      </c>
      <c r="AY44" s="388">
        <f>'Share Repurchase'!S9</f>
        <v>52503.200966668563</v>
      </c>
      <c r="AZ44" s="327">
        <f>'Share Repurchase'!T9</f>
        <v>52314.825574082592</v>
      </c>
      <c r="BA44" s="327">
        <f>'Share Repurchase'!U9</f>
        <v>52130.325865943669</v>
      </c>
      <c r="BB44" s="327">
        <f>'Share Repurchase'!V9</f>
        <v>51949.622102909372</v>
      </c>
      <c r="BC44" s="389">
        <f t="shared" si="137"/>
        <v>51949.622102909372</v>
      </c>
      <c r="BE44" s="388">
        <f>'Share Repurchase'!X9</f>
        <v>51772.636186215306</v>
      </c>
      <c r="BF44" s="327">
        <f>'Share Repurchase'!Y9</f>
        <v>51599.29162392141</v>
      </c>
      <c r="BG44" s="327">
        <f>'Share Repurchase'!Z9</f>
        <v>51429.513497852757</v>
      </c>
      <c r="BH44" s="327">
        <f>'Share Repurchase'!AA9</f>
        <v>51263.228431220479</v>
      </c>
      <c r="BI44" s="389">
        <f t="shared" si="137"/>
        <v>51263.228431220479</v>
      </c>
      <c r="BK44" s="388">
        <f>'Share Repurchase'!AC9</f>
        <v>51100.364556908891</v>
      </c>
      <c r="BL44" s="327">
        <f>'Share Repurchase'!AD9</f>
        <v>50940.8514864151</v>
      </c>
      <c r="BM44" s="327">
        <f>'Share Repurchase'!AE9</f>
        <v>50784.620279427611</v>
      </c>
      <c r="BN44" s="327">
        <f>'Share Repurchase'!AF9</f>
        <v>50631.603414030884</v>
      </c>
      <c r="BO44" s="389">
        <f t="shared" si="137"/>
        <v>50631.603414030884</v>
      </c>
    </row>
    <row r="45" spans="1:67" ht="17.25" thickBot="1">
      <c r="C45" s="380"/>
      <c r="D45" s="5"/>
      <c r="E45" s="5"/>
      <c r="F45" s="5"/>
      <c r="G45" s="380"/>
      <c r="I45" s="5"/>
      <c r="J45" s="5"/>
      <c r="K45" s="5"/>
      <c r="L45" s="381"/>
      <c r="M45" s="5"/>
      <c r="O45" s="24"/>
      <c r="P45" s="24"/>
      <c r="Q45" s="24"/>
      <c r="R45" s="24"/>
      <c r="S45" s="24"/>
      <c r="T45" s="500"/>
      <c r="U45" s="24"/>
      <c r="V45" s="24"/>
      <c r="W45" s="24"/>
      <c r="X45" s="24"/>
      <c r="Y45" s="24"/>
      <c r="Z45" s="500"/>
      <c r="AA45" s="24"/>
      <c r="AB45" s="24"/>
      <c r="AC45" s="24"/>
      <c r="AD45" s="24"/>
      <c r="AE45" s="24"/>
      <c r="AF45" s="500"/>
      <c r="AG45" s="24"/>
      <c r="AH45" s="24"/>
      <c r="AI45" s="24"/>
      <c r="AJ45" s="24"/>
      <c r="AK45" s="24"/>
      <c r="AL45" s="504"/>
      <c r="AM45" s="542"/>
      <c r="AN45" s="380"/>
      <c r="AO45" s="5"/>
      <c r="AP45" s="5"/>
      <c r="AQ45" s="24"/>
      <c r="AS45" s="5"/>
      <c r="AT45" s="5"/>
      <c r="AU45" s="5"/>
      <c r="AV45" s="5"/>
      <c r="AW45" s="24"/>
      <c r="AY45" s="5"/>
      <c r="AZ45" s="5"/>
      <c r="BA45" s="5"/>
      <c r="BB45" s="5"/>
      <c r="BC45" s="24"/>
      <c r="BE45" s="5"/>
      <c r="BF45" s="5"/>
      <c r="BG45" s="5"/>
      <c r="BH45" s="5"/>
      <c r="BI45" s="24"/>
      <c r="BK45" s="5"/>
      <c r="BL45" s="5"/>
      <c r="BM45" s="5"/>
      <c r="BN45" s="5"/>
      <c r="BO45" s="24"/>
    </row>
    <row r="46" spans="1:67" ht="17.25" thickBot="1">
      <c r="A46" s="320" t="s">
        <v>94</v>
      </c>
      <c r="C46" s="345"/>
      <c r="D46" s="324"/>
      <c r="E46" s="324"/>
      <c r="F46" s="324"/>
      <c r="G46" s="325"/>
      <c r="I46" s="448"/>
      <c r="J46" s="449"/>
      <c r="K46" s="449"/>
      <c r="L46" s="449"/>
      <c r="M46" s="450"/>
      <c r="O46" s="448"/>
      <c r="P46" s="449"/>
      <c r="Q46" s="449"/>
      <c r="R46" s="449"/>
      <c r="S46" s="450"/>
      <c r="U46" s="448"/>
      <c r="V46" s="449"/>
      <c r="W46" s="449"/>
      <c r="X46" s="449"/>
      <c r="Y46" s="450"/>
      <c r="AA46" s="448"/>
      <c r="AB46" s="449"/>
      <c r="AC46" s="449"/>
      <c r="AD46" s="449"/>
      <c r="AE46" s="450"/>
      <c r="AG46" s="448"/>
      <c r="AH46" s="449"/>
      <c r="AI46" s="449"/>
      <c r="AJ46" s="449"/>
      <c r="AK46" s="449"/>
      <c r="AL46" s="541"/>
      <c r="AM46" s="448"/>
      <c r="AN46" s="449"/>
      <c r="AO46" s="449"/>
      <c r="AP46" s="449"/>
      <c r="AQ46" s="451"/>
      <c r="AS46" s="448"/>
      <c r="AT46" s="449"/>
      <c r="AU46" s="449"/>
      <c r="AV46" s="449"/>
      <c r="AW46" s="451"/>
      <c r="AY46" s="448"/>
      <c r="AZ46" s="449"/>
      <c r="BA46" s="449"/>
      <c r="BB46" s="449"/>
      <c r="BC46" s="451"/>
      <c r="BE46" s="448"/>
      <c r="BF46" s="449"/>
      <c r="BG46" s="449"/>
      <c r="BH46" s="449"/>
      <c r="BI46" s="451"/>
      <c r="BK46" s="448"/>
      <c r="BL46" s="449"/>
      <c r="BM46" s="449"/>
      <c r="BN46" s="449"/>
      <c r="BO46" s="451"/>
    </row>
    <row r="47" spans="1:67" hidden="1">
      <c r="A47" s="469" t="s">
        <v>400</v>
      </c>
      <c r="C47" s="442">
        <f>C24/C23</f>
        <v>0.72079466891939947</v>
      </c>
      <c r="D47" s="337">
        <f>D24/D23</f>
        <v>0.6905038337486783</v>
      </c>
      <c r="E47" s="337">
        <f>E24/E23</f>
        <v>0.68743500660187395</v>
      </c>
      <c r="F47" s="337">
        <f>F24/F23</f>
        <v>0.70469345185930476</v>
      </c>
      <c r="G47" s="443">
        <f>G24/G23</f>
        <v>0.70040353442368675</v>
      </c>
      <c r="I47" s="442">
        <f>I24/I23</f>
        <v>0.72878238625299752</v>
      </c>
      <c r="J47" s="337">
        <f>J24/J23</f>
        <v>0.68726476199448849</v>
      </c>
      <c r="K47" s="337">
        <f>K24/K23</f>
        <v>0.68868368713241879</v>
      </c>
      <c r="L47" s="337">
        <f>L24/L23</f>
        <v>0.69314172387917095</v>
      </c>
      <c r="M47" s="443">
        <f>M24/M23</f>
        <v>0.69858767513164699</v>
      </c>
      <c r="O47" s="442">
        <f>O24/O23</f>
        <v>0.72276615281767431</v>
      </c>
      <c r="P47" s="337">
        <f>P24/P23</f>
        <v>0.6848717246206304</v>
      </c>
      <c r="Q47" s="337">
        <f>Q24/Q23</f>
        <v>0.68719972007518493</v>
      </c>
      <c r="R47" s="337">
        <f>R24/R23</f>
        <v>0.70696264659789554</v>
      </c>
      <c r="S47" s="443">
        <f>S24/S23</f>
        <v>0.69979075022199821</v>
      </c>
      <c r="U47" s="442">
        <f>U24/U23</f>
        <v>0.70660627117637265</v>
      </c>
      <c r="V47" s="337">
        <f>V24/V23</f>
        <v>0.66293098591549293</v>
      </c>
      <c r="W47" s="337">
        <f>W24/W23</f>
        <v>0.65648673756389986</v>
      </c>
      <c r="X47" s="337">
        <f>X24/X23</f>
        <v>0.68925130936083101</v>
      </c>
      <c r="Y47" s="443">
        <f>Y24/Y23</f>
        <v>0.6799252694811897</v>
      </c>
      <c r="AA47" s="442">
        <f>AA24/AA23</f>
        <v>0.69360562669214054</v>
      </c>
      <c r="AB47" s="337">
        <f>AB24/AB23</f>
        <v>0.66693363325698518</v>
      </c>
      <c r="AC47" s="337">
        <f>AC24/AC23</f>
        <v>0.6718298564655657</v>
      </c>
      <c r="AD47" s="337">
        <f>AD24/AD23</f>
        <v>0.70763416261642675</v>
      </c>
      <c r="AE47" s="443">
        <f>AE24/AE23</f>
        <v>0.68579470176052659</v>
      </c>
      <c r="AG47" s="442">
        <f>AG24/AG23</f>
        <v>0.72139466893163939</v>
      </c>
      <c r="AH47" s="337">
        <f>AH24/AH23</f>
        <v>0.66243533936144483</v>
      </c>
      <c r="AI47" s="337">
        <f>AI24/AI23</f>
        <v>0.66807816968261724</v>
      </c>
      <c r="AJ47" s="337">
        <f>AJ24/AJ23</f>
        <v>0.69746138402532509</v>
      </c>
      <c r="AK47" s="521">
        <f>AK24/AK23</f>
        <v>0.68593012239178341</v>
      </c>
      <c r="AL47" s="504"/>
      <c r="AM47" s="442">
        <f>AVERAGE(AG47,AA47,U47,O47,I47,C47)</f>
        <v>0.71565829579837059</v>
      </c>
      <c r="AN47" s="337">
        <f>AVERAGE(AH47,AB47,V47,P47,J47,D47)</f>
        <v>0.67582337981628671</v>
      </c>
      <c r="AO47" s="337">
        <f>AVERAGE(AI47,AC47,W47,Q47,K47,E47)</f>
        <v>0.67661886292026008</v>
      </c>
      <c r="AP47" s="337">
        <f>AVERAGE(AJ47,AD47,X47,R47,L47,F47)</f>
        <v>0.69985744638982572</v>
      </c>
      <c r="AQ47" s="452">
        <f>AVERAGE(AK47,AE47,Y47,S47,M47,G47)</f>
        <v>0.69173867556847191</v>
      </c>
      <c r="AS47" s="442">
        <f>AVERAGE(AM47,AG47,AA47,U47,O47,I47)</f>
        <v>0.7148022336115325</v>
      </c>
      <c r="AT47" s="337">
        <f>AVERAGE(AN47,AH47,AB47,V47,P47,J47)</f>
        <v>0.6733766374942215</v>
      </c>
      <c r="AU47" s="337">
        <f>AVERAGE(AO47,AI47,AC47,W47,Q47,K47)</f>
        <v>0.6748161723066578</v>
      </c>
      <c r="AV47" s="337">
        <f>AVERAGE(AP47,AJ47,AD47,X47,R47,L47)</f>
        <v>0.69905144547824583</v>
      </c>
      <c r="AW47" s="452">
        <f>AVERAGE(AQ47,AK47,AE47,Y47,S47,M47)</f>
        <v>0.69029453242593608</v>
      </c>
      <c r="AX47" s="625"/>
      <c r="AY47" s="337">
        <f>AVERAGE(AS47,AM47,AG47,AA47,U47,O47)</f>
        <v>0.71247220817128831</v>
      </c>
      <c r="AZ47" s="337">
        <f>AVERAGE(AT47,AN47,AH47,AB47,V47,P47)</f>
        <v>0.67106195007751035</v>
      </c>
      <c r="BA47" s="337">
        <f>AVERAGE(AU47,AO47,AI47,AC47,W47,Q47)</f>
        <v>0.67250491983569771</v>
      </c>
      <c r="BB47" s="337">
        <f>AVERAGE(AV47,AP47,AJ47,AD47,X47,R47)</f>
        <v>0.70003639907809168</v>
      </c>
      <c r="BC47" s="452">
        <f>AVERAGE(AW47,AQ47,AK47,AE47,Y47,S47)</f>
        <v>0.68891234197498441</v>
      </c>
      <c r="BE47" s="442">
        <f t="shared" ref="BE47:BI56" si="138">AVERAGE(AY47,AS47,AM47,AG47,AA47,U47)</f>
        <v>0.71075655073022403</v>
      </c>
      <c r="BF47" s="337">
        <f t="shared" si="138"/>
        <v>0.66876032098699023</v>
      </c>
      <c r="BG47" s="337">
        <f t="shared" si="138"/>
        <v>0.67005578646244979</v>
      </c>
      <c r="BH47" s="337">
        <f t="shared" si="138"/>
        <v>0.69888202449145764</v>
      </c>
      <c r="BI47" s="452">
        <f t="shared" si="138"/>
        <v>0.68709927393381542</v>
      </c>
      <c r="BK47" s="442">
        <f t="shared" ref="BK47:BO56" si="139">AVERAGE(BE47,AY47,AS47,AM47,AG47,AA47)</f>
        <v>0.71144826398919925</v>
      </c>
      <c r="BL47" s="337">
        <f t="shared" si="139"/>
        <v>0.66973187683223978</v>
      </c>
      <c r="BM47" s="337">
        <f t="shared" si="139"/>
        <v>0.67231729461220802</v>
      </c>
      <c r="BN47" s="337">
        <f t="shared" si="139"/>
        <v>0.7004871436798954</v>
      </c>
      <c r="BO47" s="452">
        <f t="shared" si="139"/>
        <v>0.6882949413425864</v>
      </c>
    </row>
    <row r="48" spans="1:67">
      <c r="A48" s="469" t="s">
        <v>401</v>
      </c>
      <c r="C48" s="442">
        <f>C8/C5</f>
        <v>0.69810286783264963</v>
      </c>
      <c r="D48" s="337">
        <f t="shared" ref="D48:F48" si="140">D8/D5</f>
        <v>0.67495335057452455</v>
      </c>
      <c r="E48" s="337">
        <f t="shared" si="140"/>
        <v>0.67341823003762546</v>
      </c>
      <c r="F48" s="337">
        <f t="shared" si="140"/>
        <v>0.69249801672453926</v>
      </c>
      <c r="G48" s="443">
        <f>G8/G5</f>
        <v>0.68446751297604902</v>
      </c>
      <c r="I48" s="442">
        <f>I8/I5</f>
        <v>0.72234190011924759</v>
      </c>
      <c r="J48" s="337">
        <f t="shared" ref="J48:L48" si="141">J8/J5</f>
        <v>0.67944498901373318</v>
      </c>
      <c r="K48" s="337">
        <f t="shared" si="141"/>
        <v>0.67808454091826564</v>
      </c>
      <c r="L48" s="337">
        <f t="shared" si="141"/>
        <v>0.67314764302007746</v>
      </c>
      <c r="M48" s="443">
        <f>M8/M5</f>
        <v>0.68726863890561152</v>
      </c>
      <c r="O48" s="442">
        <f>O8/O5</f>
        <v>0.70582099053083946</v>
      </c>
      <c r="P48" s="337">
        <f t="shared" ref="P48:R48" si="142">P8/P5</f>
        <v>0.67156911416125353</v>
      </c>
      <c r="Q48" s="337">
        <f t="shared" si="142"/>
        <v>0.67035040321981187</v>
      </c>
      <c r="R48" s="337">
        <f t="shared" si="142"/>
        <v>0.69104331260538909</v>
      </c>
      <c r="S48" s="443">
        <f>S8/S5</f>
        <v>0.68417249965791749</v>
      </c>
      <c r="U48" s="442">
        <f>U8/U5</f>
        <v>0.68445421168076881</v>
      </c>
      <c r="V48" s="337">
        <f t="shared" ref="V48:X48" si="143">V8/V5</f>
        <v>0.6444651393219919</v>
      </c>
      <c r="W48" s="337">
        <f t="shared" si="143"/>
        <v>0.62928405151282973</v>
      </c>
      <c r="X48" s="337">
        <f t="shared" si="143"/>
        <v>0.66251538860980319</v>
      </c>
      <c r="Y48" s="443">
        <f>Y8/Y5</f>
        <v>0.65577644146776171</v>
      </c>
      <c r="AA48" s="442">
        <f>AA8/AA5</f>
        <v>0.67954212111518197</v>
      </c>
      <c r="AB48" s="337">
        <f t="shared" ref="AB48:AD48" si="144">AB8/AB5</f>
        <v>0.67068719769441154</v>
      </c>
      <c r="AC48" s="337">
        <f t="shared" si="144"/>
        <v>0.68296109456865839</v>
      </c>
      <c r="AD48" s="337">
        <f t="shared" si="144"/>
        <v>0.72119368924485683</v>
      </c>
      <c r="AE48" s="443">
        <f>AE8/AE5</f>
        <v>0.69062660042473489</v>
      </c>
      <c r="AG48" s="442">
        <f>AG8/AG5</f>
        <v>0.73607123105616301</v>
      </c>
      <c r="AH48" s="337">
        <f t="shared" ref="AH48:AJ48" si="145">AH8/AH5</f>
        <v>0.67883023990754288</v>
      </c>
      <c r="AI48" s="337">
        <f t="shared" si="145"/>
        <v>0.68731060429684954</v>
      </c>
      <c r="AJ48" s="337">
        <f t="shared" si="145"/>
        <v>0.70204597634339849</v>
      </c>
      <c r="AK48" s="521">
        <f>AK8/AK5</f>
        <v>0.69987835044362889</v>
      </c>
      <c r="AL48" s="626"/>
      <c r="AM48" s="337">
        <f>AVERAGE(AG48:AJ48,AA48:AD48,U48:X48,O48:R48,I48:L48,C48:F48)</f>
        <v>0.68375567933793391</v>
      </c>
      <c r="AN48" s="337">
        <f>$AM$48</f>
        <v>0.68375567933793391</v>
      </c>
      <c r="AO48" s="337">
        <f t="shared" ref="AO48:AP48" si="146">$AM$48</f>
        <v>0.68375567933793391</v>
      </c>
      <c r="AP48" s="337">
        <f t="shared" si="146"/>
        <v>0.68375567933793391</v>
      </c>
      <c r="AQ48" s="443">
        <f>AVERAGE(AM48:AP48)</f>
        <v>0.68375567933793391</v>
      </c>
      <c r="AR48" s="625"/>
      <c r="AS48" s="337">
        <f>$AM$48</f>
        <v>0.68375567933793391</v>
      </c>
      <c r="AT48" s="337">
        <f t="shared" ref="AT48:AV48" si="147">$AM$48</f>
        <v>0.68375567933793391</v>
      </c>
      <c r="AU48" s="337">
        <f t="shared" si="147"/>
        <v>0.68375567933793391</v>
      </c>
      <c r="AV48" s="337">
        <f t="shared" si="147"/>
        <v>0.68375567933793391</v>
      </c>
      <c r="AW48" s="443">
        <f t="shared" ref="AW48" si="148">AVERAGE(AQ48,AK48,AE48,Y48,S48,M48)</f>
        <v>0.6835797017062647</v>
      </c>
      <c r="AX48" s="625"/>
      <c r="AY48" s="337">
        <f>$AM$48</f>
        <v>0.68375567933793391</v>
      </c>
      <c r="AZ48" s="337">
        <f t="shared" ref="AZ48:BB48" si="149">$AM$48</f>
        <v>0.68375567933793391</v>
      </c>
      <c r="BA48" s="337">
        <f t="shared" si="149"/>
        <v>0.68375567933793391</v>
      </c>
      <c r="BB48" s="337">
        <f t="shared" si="149"/>
        <v>0.68375567933793391</v>
      </c>
      <c r="BC48" s="443">
        <f t="shared" ref="BC48" si="150">AVERAGE(AW48,AQ48,AK48,AE48,Y48,S48)</f>
        <v>0.68296487883970691</v>
      </c>
      <c r="BD48" s="625"/>
      <c r="BE48" s="337">
        <f>$AM$48</f>
        <v>0.68375567933793391</v>
      </c>
      <c r="BF48" s="337">
        <f t="shared" ref="BF48:BH48" si="151">$AM$48</f>
        <v>0.68375567933793391</v>
      </c>
      <c r="BG48" s="337">
        <f t="shared" si="151"/>
        <v>0.68375567933793391</v>
      </c>
      <c r="BH48" s="337">
        <f t="shared" si="151"/>
        <v>0.68375567933793391</v>
      </c>
      <c r="BI48" s="443">
        <f t="shared" si="138"/>
        <v>0.68276360870333841</v>
      </c>
      <c r="BJ48" s="625"/>
      <c r="BK48" s="337">
        <f>$AM$48</f>
        <v>0.68375567933793391</v>
      </c>
      <c r="BL48" s="337">
        <f t="shared" ref="BL48:BN48" si="152">$AM$48</f>
        <v>0.68375567933793391</v>
      </c>
      <c r="BM48" s="337">
        <f t="shared" si="152"/>
        <v>0.68375567933793391</v>
      </c>
      <c r="BN48" s="337">
        <f t="shared" si="152"/>
        <v>0.68375567933793391</v>
      </c>
      <c r="BO48" s="443">
        <f t="shared" si="139"/>
        <v>0.68726146990926795</v>
      </c>
    </row>
    <row r="49" spans="1:67">
      <c r="A49" s="469" t="s">
        <v>402</v>
      </c>
      <c r="C49" s="442">
        <f>C15/C12</f>
        <v>0.81954834650073416</v>
      </c>
      <c r="D49" s="337">
        <f t="shared" ref="D49:G49" si="153">D15/D12</f>
        <v>0.75747983757261295</v>
      </c>
      <c r="E49" s="337">
        <f t="shared" si="153"/>
        <v>0.74725075612917613</v>
      </c>
      <c r="F49" s="337">
        <f t="shared" si="153"/>
        <v>0.76141510218586261</v>
      </c>
      <c r="G49" s="443">
        <f t="shared" si="153"/>
        <v>0.77037054663132765</v>
      </c>
      <c r="I49" s="442">
        <f>I15/I12</f>
        <v>0.75947070175843268</v>
      </c>
      <c r="J49" s="337">
        <f t="shared" ref="J49:M49" si="154">J15/J12</f>
        <v>0.72302623374748132</v>
      </c>
      <c r="K49" s="337">
        <f t="shared" si="154"/>
        <v>0.73464853985493483</v>
      </c>
      <c r="L49" s="337">
        <f t="shared" si="154"/>
        <v>0.78705043612176895</v>
      </c>
      <c r="M49" s="443">
        <f t="shared" si="154"/>
        <v>0.75047033823748355</v>
      </c>
      <c r="O49" s="442">
        <f>O15/O12</f>
        <v>0.81237065251528007</v>
      </c>
      <c r="P49" s="337">
        <f t="shared" ref="P49:S49" si="155">P15/P12</f>
        <v>0.74680486740932206</v>
      </c>
      <c r="Q49" s="337">
        <f t="shared" si="155"/>
        <v>0.76935597598666217</v>
      </c>
      <c r="R49" s="337">
        <f t="shared" si="155"/>
        <v>0.79023650437096704</v>
      </c>
      <c r="S49" s="443">
        <f t="shared" si="155"/>
        <v>0.7777814859768597</v>
      </c>
      <c r="U49" s="442">
        <f>U15/U12</f>
        <v>0.8215810117090615</v>
      </c>
      <c r="V49" s="337">
        <f t="shared" ref="V49:Y49" si="156">V15/V12</f>
        <v>0.82615263092252045</v>
      </c>
      <c r="W49" s="337">
        <f t="shared" si="156"/>
        <v>0.84552928456312859</v>
      </c>
      <c r="X49" s="337">
        <f t="shared" si="156"/>
        <v>0.85495127375291546</v>
      </c>
      <c r="Y49" s="443">
        <f t="shared" si="156"/>
        <v>0.83676310388474251</v>
      </c>
      <c r="AA49" s="442">
        <f>AA15/AA12</f>
        <v>0.75768701870187016</v>
      </c>
      <c r="AB49" s="337">
        <f t="shared" ref="AB49:AE49" si="157">AB15/AB12</f>
        <v>0.65256520492977932</v>
      </c>
      <c r="AC49" s="337">
        <f t="shared" si="157"/>
        <v>0.63177886241724257</v>
      </c>
      <c r="AD49" s="337">
        <f t="shared" si="157"/>
        <v>0.65002203655254542</v>
      </c>
      <c r="AE49" s="443">
        <f t="shared" si="157"/>
        <v>0.66635337477410639</v>
      </c>
      <c r="AG49" s="442">
        <f>AG15/AG12</f>
        <v>0.66049910151157465</v>
      </c>
      <c r="AH49" s="337">
        <f t="shared" ref="AH49:AK49" si="158">AH15/AH12</f>
        <v>0.59685773162432865</v>
      </c>
      <c r="AI49" s="337">
        <f t="shared" si="158"/>
        <v>0.59668620970975816</v>
      </c>
      <c r="AJ49" s="337">
        <f t="shared" si="158"/>
        <v>0.67820996794506727</v>
      </c>
      <c r="AK49" s="521">
        <f t="shared" si="158"/>
        <v>0.63014395875446694</v>
      </c>
      <c r="AL49" s="626"/>
      <c r="AM49" s="337">
        <f>AVERAGE(AG49:AJ49,AA49:AD49,U49:X49,O49:R49,I49:L49,C49:F49)</f>
        <v>0.74088242868720944</v>
      </c>
      <c r="AN49" s="337">
        <f>$AM$49</f>
        <v>0.74088242868720944</v>
      </c>
      <c r="AO49" s="337">
        <f t="shared" ref="AO49:AP49" si="159">$AM$49</f>
        <v>0.74088242868720944</v>
      </c>
      <c r="AP49" s="337">
        <f t="shared" si="159"/>
        <v>0.74088242868720944</v>
      </c>
      <c r="AQ49" s="443">
        <f>AVERAGE(AM49:AP49)</f>
        <v>0.74088242868720944</v>
      </c>
      <c r="AR49" s="625"/>
      <c r="AS49" s="337">
        <f>$AM$49</f>
        <v>0.74088242868720944</v>
      </c>
      <c r="AT49" s="337">
        <f>$AM$49</f>
        <v>0.74088242868720944</v>
      </c>
      <c r="AU49" s="337">
        <f t="shared" ref="AU49:AV49" si="160">$AM$49</f>
        <v>0.74088242868720944</v>
      </c>
      <c r="AV49" s="337">
        <f t="shared" si="160"/>
        <v>0.74088242868720944</v>
      </c>
      <c r="AW49" s="443">
        <f>AVERAGE(AS49:AV49)</f>
        <v>0.74088242868720944</v>
      </c>
      <c r="AX49" s="625"/>
      <c r="AY49" s="337">
        <f>$AM$49</f>
        <v>0.74088242868720944</v>
      </c>
      <c r="AZ49" s="337">
        <f>$AM$49</f>
        <v>0.74088242868720944</v>
      </c>
      <c r="BA49" s="337">
        <f t="shared" ref="BA49:BB49" si="161">$AM$49</f>
        <v>0.74088242868720944</v>
      </c>
      <c r="BB49" s="337">
        <f t="shared" si="161"/>
        <v>0.74088242868720944</v>
      </c>
      <c r="BC49" s="443">
        <f>AVERAGE(AY49:BB49)</f>
        <v>0.74088242868720944</v>
      </c>
      <c r="BD49" s="625"/>
      <c r="BE49" s="337">
        <f>$AM$49</f>
        <v>0.74088242868720944</v>
      </c>
      <c r="BF49" s="337">
        <f>$AM$49</f>
        <v>0.74088242868720944</v>
      </c>
      <c r="BG49" s="337">
        <f t="shared" ref="BG49:BH49" si="162">$AM$49</f>
        <v>0.74088242868720944</v>
      </c>
      <c r="BH49" s="337">
        <f t="shared" si="162"/>
        <v>0.74088242868720944</v>
      </c>
      <c r="BI49" s="443">
        <f>AVERAGE(BE49:BH49)</f>
        <v>0.74088242868720944</v>
      </c>
      <c r="BJ49" s="625"/>
      <c r="BK49" s="337">
        <f>$AM$49</f>
        <v>0.74088242868720944</v>
      </c>
      <c r="BL49" s="337">
        <f>$AM$49</f>
        <v>0.74088242868720944</v>
      </c>
      <c r="BM49" s="337">
        <f t="shared" ref="BM49:BN49" si="163">$AM$49</f>
        <v>0.74088242868720944</v>
      </c>
      <c r="BN49" s="337">
        <f t="shared" si="163"/>
        <v>0.74088242868720944</v>
      </c>
      <c r="BO49" s="443">
        <f>AVERAGE(BK49:BN49)</f>
        <v>0.74088242868720944</v>
      </c>
    </row>
    <row r="50" spans="1:67">
      <c r="A50" s="470" t="s">
        <v>97</v>
      </c>
      <c r="C50" s="444">
        <f>C27/C23</f>
        <v>0.16288912983840417</v>
      </c>
      <c r="D50" s="338">
        <f>D27/D23</f>
        <v>0.14917081568781648</v>
      </c>
      <c r="E50" s="338">
        <f>E27/E23</f>
        <v>0.14983475469870847</v>
      </c>
      <c r="F50" s="338">
        <f>F27/F23</f>
        <v>0.15905876749223646</v>
      </c>
      <c r="G50" s="309">
        <f>G27/G23</f>
        <v>0.15505990197549863</v>
      </c>
      <c r="I50" s="444">
        <f>I27/I23</f>
        <v>0.15349610151271442</v>
      </c>
      <c r="J50" s="338">
        <f>J27/J23</f>
        <v>0.14837953694326023</v>
      </c>
      <c r="K50" s="338">
        <f>K27/K23</f>
        <v>0.14376391308627684</v>
      </c>
      <c r="L50" s="338">
        <f>L27/L23</f>
        <v>0.16481512554124661</v>
      </c>
      <c r="M50" s="309">
        <f>M27/M23</f>
        <v>0.1526365912463189</v>
      </c>
      <c r="O50" s="444">
        <f>O27/O23</f>
        <v>0.14703671307401397</v>
      </c>
      <c r="P50" s="338">
        <f>P27/P23</f>
        <v>0.14265354941646963</v>
      </c>
      <c r="Q50" s="338">
        <f>Q27/Q23</f>
        <v>0.13715979490124128</v>
      </c>
      <c r="R50" s="338">
        <f>R27/R23</f>
        <v>0.14124029138753508</v>
      </c>
      <c r="S50" s="309">
        <f>S27/S23</f>
        <v>0.14186021294242115</v>
      </c>
      <c r="U50" s="444">
        <f>U27/U23</f>
        <v>0.15060863326278912</v>
      </c>
      <c r="V50" s="338">
        <f>V27/V23</f>
        <v>0.14625211267605634</v>
      </c>
      <c r="W50" s="338">
        <f>W27/W23</f>
        <v>0.13670984828265823</v>
      </c>
      <c r="X50" s="338">
        <f>X27/X23</f>
        <v>0.13985857647044048</v>
      </c>
      <c r="Y50" s="309">
        <f>Y27/Y23</f>
        <v>0.14345740605331198</v>
      </c>
      <c r="AA50" s="444">
        <f>AA27/AA23</f>
        <v>0.1505182219098482</v>
      </c>
      <c r="AB50" s="338">
        <f>AB27/AB23</f>
        <v>0.13395750266067108</v>
      </c>
      <c r="AC50" s="338">
        <f>AC27/AC23</f>
        <v>0.13995474414043821</v>
      </c>
      <c r="AD50" s="338">
        <f>AD27/AD23</f>
        <v>0.14207565827378937</v>
      </c>
      <c r="AE50" s="309">
        <f>AE27/AE23</f>
        <v>0.14136188940094588</v>
      </c>
      <c r="AG50" s="444">
        <f>AG27/AG23</f>
        <v>0.12930616392483507</v>
      </c>
      <c r="AH50" s="338">
        <f>AH27/AH23</f>
        <v>0.11472876447307109</v>
      </c>
      <c r="AI50" s="338">
        <f>AI27/AI23</f>
        <v>0.11129965387363673</v>
      </c>
      <c r="AJ50" s="338">
        <f>AJ27/AJ23</f>
        <v>0.13214870847149437</v>
      </c>
      <c r="AK50" s="522">
        <f>AK27/AK23</f>
        <v>0.12143196547829764</v>
      </c>
      <c r="AL50" s="540"/>
      <c r="AM50" s="337">
        <f>AVERAGE(AG50,AA50,U50)</f>
        <v>0.14347767303249079</v>
      </c>
      <c r="AN50" s="337">
        <v>0.115</v>
      </c>
      <c r="AO50" s="337">
        <v>0.115</v>
      </c>
      <c r="AP50" s="337">
        <v>0.14000000000000001</v>
      </c>
      <c r="AQ50" s="443">
        <f>AVERAGE(AM50:AP50)</f>
        <v>0.1283694182581227</v>
      </c>
      <c r="AR50" s="625"/>
      <c r="AS50" s="337">
        <v>0.13900000000000001</v>
      </c>
      <c r="AT50" s="337">
        <v>0.11</v>
      </c>
      <c r="AU50" s="337">
        <v>0.11</v>
      </c>
      <c r="AV50" s="337">
        <v>0.13500000000000001</v>
      </c>
      <c r="AW50" s="443">
        <f>AVERAGE(AS50:AV50)</f>
        <v>0.1235</v>
      </c>
      <c r="AX50" s="625"/>
      <c r="AY50" s="337">
        <f>AVERAGE(AS50,AM50,AG50,AA50)</f>
        <v>0.14057551471679353</v>
      </c>
      <c r="AZ50" s="337">
        <f>AVERAGE(AT50,AN50,AH50,AB50,V50)</f>
        <v>0.1239876759619597</v>
      </c>
      <c r="BA50" s="337">
        <f>AVERAGE(AU50,AO50,AI50,AC50,W50)</f>
        <v>0.12259284925934663</v>
      </c>
      <c r="BB50" s="337">
        <f>AVERAGE(AY50:BA50)</f>
        <v>0.12905201331269997</v>
      </c>
      <c r="BC50" s="443">
        <f>AVERAGE(AY50:BB50)</f>
        <v>0.12905201331269997</v>
      </c>
      <c r="BD50" s="625"/>
      <c r="BE50" s="337">
        <f>AVERAGE(AY50,AS50,AM50,AG50,AA50,U50,O50)</f>
        <v>0.14293184570296727</v>
      </c>
      <c r="BF50" s="337">
        <f>AVERAGE(AZ50,AT50,AN50,AH50,AB50)</f>
        <v>0.11953478861914038</v>
      </c>
      <c r="BG50" s="337">
        <f>AVERAGE(BA50,AU50,AO50,AI50,AC50)</f>
        <v>0.1197694494546843</v>
      </c>
      <c r="BH50" s="337">
        <f>AVERAGE(BE50:BG50)</f>
        <v>0.12741202792559733</v>
      </c>
      <c r="BI50" s="443">
        <f>AVERAGE(BE50:BH50)</f>
        <v>0.12741202792559733</v>
      </c>
      <c r="BJ50" s="625"/>
      <c r="BK50" s="337">
        <f>AVERAGE(BE50,AY50,AS50,AM50,AG50,AA50,U50,O50,I50,C50)</f>
        <v>0.14598399969748563</v>
      </c>
      <c r="BL50" s="337">
        <f>AVERAGE(BF50,AZ50,AT50,AN50,AH50,AB50,V50,P50,J50,D50)</f>
        <v>0.13036647464384449</v>
      </c>
      <c r="BM50" s="337">
        <f>AVERAGE(BG50,BA50,AU50,AO50,AI50,AC50,W50,Q50,K50,E50)</f>
        <v>0.12860850076969904</v>
      </c>
      <c r="BN50" s="337">
        <f>AVERAGE(BH50,BB50,AV50,AP50,AJ50,AD50,X50,R50,L50,F50)</f>
        <v>0.14106611688750398</v>
      </c>
      <c r="BO50" s="443">
        <f>AVERAGE(BK50:BN50)</f>
        <v>0.13650627299963328</v>
      </c>
    </row>
    <row r="51" spans="1:67">
      <c r="A51" s="470" t="s">
        <v>98</v>
      </c>
      <c r="C51" s="444">
        <f>C28/C23</f>
        <v>3.3239421082501986E-3</v>
      </c>
      <c r="D51" s="338">
        <f>D28/D23</f>
        <v>3.2094029129050941E-3</v>
      </c>
      <c r="E51" s="338">
        <f>E28/E23</f>
        <v>3.1051298809545861E-3</v>
      </c>
      <c r="F51" s="338">
        <f>F28/F23</f>
        <v>3.2204847986962858E-3</v>
      </c>
      <c r="G51" s="309">
        <f>G28/G23</f>
        <v>3.2122481050792231E-3</v>
      </c>
      <c r="I51" s="444">
        <f>I28/I23</f>
        <v>3.2409593239598922E-3</v>
      </c>
      <c r="J51" s="338">
        <f>J28/J23</f>
        <v>2.8829168335021316E-3</v>
      </c>
      <c r="K51" s="338">
        <f>K28/K23</f>
        <v>2.9056631968699485E-3</v>
      </c>
      <c r="L51" s="338">
        <f>L28/L23</f>
        <v>2.887425367395165E-3</v>
      </c>
      <c r="M51" s="309">
        <f>M28/M23</f>
        <v>2.9712423374459859E-3</v>
      </c>
      <c r="O51" s="444">
        <f>O28/O23</f>
        <v>3.2964541986248127E-3</v>
      </c>
      <c r="P51" s="338">
        <f>P28/P23</f>
        <v>2.9470068310697406E-3</v>
      </c>
      <c r="Q51" s="338">
        <f>Q28/Q23</f>
        <v>2.7925191887563532E-3</v>
      </c>
      <c r="R51" s="338">
        <f>R28/R23</f>
        <v>2.884024775977176E-3</v>
      </c>
      <c r="S51" s="309">
        <f>S28/S23</f>
        <v>2.9705262602610053E-3</v>
      </c>
      <c r="U51" s="444">
        <f>U28/U23</f>
        <v>2.9828911797969396E-3</v>
      </c>
      <c r="V51" s="338">
        <f>V28/V23</f>
        <v>3.8957746478873239E-3</v>
      </c>
      <c r="W51" s="338">
        <f>W28/W23</f>
        <v>3.6209940668049025E-3</v>
      </c>
      <c r="X51" s="338">
        <f>X28/X23</f>
        <v>3.644858639269521E-3</v>
      </c>
      <c r="Y51" s="309">
        <f>Y28/Y23</f>
        <v>3.5148406680837138E-3</v>
      </c>
      <c r="AA51" s="444">
        <f>AA28/AA23</f>
        <v>3.6540336671005806E-3</v>
      </c>
      <c r="AB51" s="338">
        <f>AB28/AB23</f>
        <v>3.1010580080262679E-3</v>
      </c>
      <c r="AC51" s="338">
        <f>AC28/AC23</f>
        <v>2.9417359710513843E-3</v>
      </c>
      <c r="AD51" s="338">
        <f>AD28/AD23</f>
        <v>2.7870057642782682E-3</v>
      </c>
      <c r="AE51" s="309">
        <f>AE28/AE23</f>
        <v>3.0862689019189259E-3</v>
      </c>
      <c r="AG51" s="444">
        <f>AG28/AG23</f>
        <v>2.6994916641647614E-3</v>
      </c>
      <c r="AH51" s="338">
        <f>AH28/AH23</f>
        <v>2.3571272686520504E-3</v>
      </c>
      <c r="AI51" s="338">
        <f>AI28/AI23</f>
        <v>2.3813611173469614E-3</v>
      </c>
      <c r="AJ51" s="338">
        <f>AJ28/AJ23</f>
        <v>2.6163877887298158E-3</v>
      </c>
      <c r="AK51" s="522">
        <f>AK28/AK23</f>
        <v>2.5051266740925616E-3</v>
      </c>
      <c r="AL51" s="540"/>
      <c r="AM51" s="337">
        <f>AVERAGE(AG51,AA51,U51,O51,I51,C51)</f>
        <v>3.1996286903161974E-3</v>
      </c>
      <c r="AN51" s="337">
        <f>AVERAGE(AH51,AB51,V51,P51,J51,D51)</f>
        <v>3.0655477503404344E-3</v>
      </c>
      <c r="AO51" s="337">
        <f>AVERAGE(AI51,AC51,W51,Q51,K51,E51)</f>
        <v>2.9579005702973556E-3</v>
      </c>
      <c r="AP51" s="337">
        <f>AVERAGE(AJ51,AD51,X51,R51,L51,F51)</f>
        <v>3.006697855724372E-3</v>
      </c>
      <c r="AQ51" s="452">
        <f>AVERAGE(AK51,AE51,Y51,S51,M51,G51)</f>
        <v>3.0433754911469023E-3</v>
      </c>
      <c r="AS51" s="442">
        <f>AVERAGE(AM51,AG51,AA51,U51,O51,I51)</f>
        <v>3.1789097873271971E-3</v>
      </c>
      <c r="AT51" s="337">
        <f>AVERAGE(AN51,AH51,AB51,V51,P51,J51)</f>
        <v>3.0415718899129917E-3</v>
      </c>
      <c r="AU51" s="337">
        <f>AVERAGE(AO51,AI51,AC51,W51,Q51,K51)</f>
        <v>2.9333623518544836E-3</v>
      </c>
      <c r="AV51" s="337">
        <f>AVERAGE(AP51,AJ51,AD51,X51,R51,L51)</f>
        <v>2.971066698562386E-3</v>
      </c>
      <c r="AW51" s="452">
        <f>AVERAGE(AQ51,AK51,AE51,Y51,S51,M51)</f>
        <v>3.0152300554915153E-3</v>
      </c>
      <c r="AX51" s="625"/>
      <c r="AY51" s="337">
        <f>AVERAGE(AS51,AM51,AG51,AA51,U51,O51)</f>
        <v>3.1685681978884145E-3</v>
      </c>
      <c r="AZ51" s="337">
        <f>AVERAGE(AT51,AN51,AH51,AB51,V51,P51)</f>
        <v>3.0680143993148013E-3</v>
      </c>
      <c r="BA51" s="337">
        <f>AVERAGE(AU51,AO51,AI51,AC51,W51,Q51)</f>
        <v>2.93797887768524E-3</v>
      </c>
      <c r="BB51" s="337">
        <f>AVERAGE(AV51,AP51,AJ51,AD51,X51,R51)</f>
        <v>2.9850069204235899E-3</v>
      </c>
      <c r="BC51" s="452">
        <f>AVERAGE(AW51,AQ51,AK51,AE51,Y51,S51)</f>
        <v>3.0225613418324374E-3</v>
      </c>
      <c r="BD51" s="625"/>
      <c r="BE51" s="337">
        <f t="shared" si="138"/>
        <v>3.1472538644323482E-3</v>
      </c>
      <c r="BF51" s="337">
        <f t="shared" si="138"/>
        <v>3.0881823273556448E-3</v>
      </c>
      <c r="BG51" s="337">
        <f t="shared" si="138"/>
        <v>2.962222159173388E-3</v>
      </c>
      <c r="BH51" s="337">
        <f t="shared" si="138"/>
        <v>3.0018372778313255E-3</v>
      </c>
      <c r="BI51" s="452">
        <f t="shared" si="138"/>
        <v>3.0312338554276761E-3</v>
      </c>
      <c r="BJ51" s="625"/>
      <c r="BK51" s="337">
        <f t="shared" si="139"/>
        <v>3.1746476452049165E-3</v>
      </c>
      <c r="BL51" s="337">
        <f t="shared" si="139"/>
        <v>2.9535836072670314E-3</v>
      </c>
      <c r="BM51" s="337">
        <f t="shared" si="139"/>
        <v>2.8524268412348022E-3</v>
      </c>
      <c r="BN51" s="337">
        <f t="shared" si="139"/>
        <v>2.8946670509249601E-3</v>
      </c>
      <c r="BO51" s="452">
        <f t="shared" si="139"/>
        <v>2.9506327199850025E-3</v>
      </c>
    </row>
    <row r="52" spans="1:67">
      <c r="A52" s="470" t="s">
        <v>96</v>
      </c>
      <c r="C52" s="444">
        <f>C30/C23</f>
        <v>0.10510624276970017</v>
      </c>
      <c r="D52" s="338">
        <f>D30/D23</f>
        <v>9.5021440299260879E-2</v>
      </c>
      <c r="E52" s="338">
        <f>E30/E23</f>
        <v>9.6565967141454739E-2</v>
      </c>
      <c r="F52" s="338">
        <f>F30/F23</f>
        <v>9.5651208250435174E-2</v>
      </c>
      <c r="G52" s="309">
        <f>G30/G23</f>
        <v>9.793689460498517E-2</v>
      </c>
      <c r="I52" s="444">
        <f>I30/I23</f>
        <v>9.9821547177964681E-2</v>
      </c>
      <c r="J52" s="338">
        <f>J30/J23</f>
        <v>8.5686694773535577E-2</v>
      </c>
      <c r="K52" s="338">
        <f>K30/K23</f>
        <v>8.6674154185163096E-2</v>
      </c>
      <c r="L52" s="338">
        <f>L30/L23</f>
        <v>9.081640262688126E-2</v>
      </c>
      <c r="M52" s="309">
        <f>M30/M23</f>
        <v>9.0484116155395422E-2</v>
      </c>
      <c r="O52" s="444">
        <f>O30/O23</f>
        <v>9.6505169439538754E-2</v>
      </c>
      <c r="P52" s="338">
        <f>P30/P23</f>
        <v>8.5436721086524586E-2</v>
      </c>
      <c r="Q52" s="338">
        <f>Q30/Q23</f>
        <v>8.2716885656993408E-2</v>
      </c>
      <c r="R52" s="338">
        <f>R30/R23</f>
        <v>8.8859421013656639E-2</v>
      </c>
      <c r="S52" s="309">
        <f>S30/S23</f>
        <v>8.8132548304754421E-2</v>
      </c>
      <c r="U52" s="444">
        <f>U30/U23</f>
        <v>8.6811334753535849E-2</v>
      </c>
      <c r="V52" s="338">
        <f>V30/V23</f>
        <v>0.10210422535211268</v>
      </c>
      <c r="W52" s="338">
        <f>W30/W23</f>
        <v>9.5554722946478057E-2</v>
      </c>
      <c r="X52" s="338">
        <f>X30/X23</f>
        <v>8.969969479646818E-2</v>
      </c>
      <c r="Y52" s="309">
        <f>Y30/Y23</f>
        <v>9.3163474282122974E-2</v>
      </c>
      <c r="AA52" s="444">
        <f>AA30/AA23</f>
        <v>8.9294287679979406E-2</v>
      </c>
      <c r="AB52" s="338">
        <f>AB30/AB23</f>
        <v>7.727495472001969E-2</v>
      </c>
      <c r="AC52" s="338">
        <f>AC30/AC23</f>
        <v>7.5094668405713633E-2</v>
      </c>
      <c r="AD52" s="338">
        <f>AD30/AD23</f>
        <v>7.4078077251869393E-2</v>
      </c>
      <c r="AE52" s="309">
        <f>AE30/AE23</f>
        <v>7.8341828784469908E-2</v>
      </c>
      <c r="AG52" s="444">
        <f>AG30/AG23</f>
        <v>7.21044829866163E-2</v>
      </c>
      <c r="AH52" s="338">
        <f>AH30/AH23</f>
        <v>6.478450386046869E-2</v>
      </c>
      <c r="AI52" s="338">
        <f>AI30/AI23</f>
        <v>6.4848439496847599E-2</v>
      </c>
      <c r="AJ52" s="338">
        <f>AJ30/AJ23</f>
        <v>6.8096499642437427E-2</v>
      </c>
      <c r="AK52" s="522">
        <f>AK30/AK23</f>
        <v>6.7277061048793163E-2</v>
      </c>
      <c r="AL52" s="540"/>
      <c r="AM52" s="337">
        <f>AVERAGE(AG52:AJ52,AB52:AD52)</f>
        <v>7.0897375194853243E-2</v>
      </c>
      <c r="AN52" s="337">
        <f>AVERAGE(AH52:AI52)</f>
        <v>6.4816471678658144E-2</v>
      </c>
      <c r="AO52" s="337">
        <f>AVERAGE(AH52:AI52)</f>
        <v>6.4816471678658144E-2</v>
      </c>
      <c r="AP52" s="337">
        <f>AJ52</f>
        <v>6.8096499642437427E-2</v>
      </c>
      <c r="AQ52" s="443">
        <f>AVERAGE(AM52:AP52)</f>
        <v>6.7156704548651747E-2</v>
      </c>
      <c r="AS52" s="442">
        <v>7.4999999999999997E-2</v>
      </c>
      <c r="AT52" s="337">
        <v>7.4999999999999997E-2</v>
      </c>
      <c r="AU52" s="337">
        <v>7.4999999999999997E-2</v>
      </c>
      <c r="AV52" s="337">
        <v>7.4999999999999997E-2</v>
      </c>
      <c r="AW52" s="443">
        <f>AVERAGE(AS52:AV52)</f>
        <v>7.4999999999999997E-2</v>
      </c>
      <c r="AY52" s="442">
        <f>AVERAGE(AS52,AM52,AG52,AA52,U52,O52)</f>
        <v>8.1768775009087261E-2</v>
      </c>
      <c r="AZ52" s="337">
        <f>AVERAGE(AT52,AN52,AH52,AB52,V52)</f>
        <v>7.6796031122251834E-2</v>
      </c>
      <c r="BA52" s="337">
        <f>AVERAGE(AU52,AO52,AI52,AC52,W52)</f>
        <v>7.506286050553948E-2</v>
      </c>
      <c r="BB52" s="337">
        <f>AVERAGE(AV52,AP52,AJ52,AD52,X52)</f>
        <v>7.4994154266642479E-2</v>
      </c>
      <c r="BC52" s="443">
        <f>AVERAGE(AY52:BB52)</f>
        <v>7.7155455225880271E-2</v>
      </c>
      <c r="BE52" s="442">
        <f>AVERAGE(AY52,AS52,AM52,AG52,AA52,U52)</f>
        <v>7.9312709270678683E-2</v>
      </c>
      <c r="BF52" s="337">
        <f>AVERAGE(AZ52,AT52,AN52,AH52,AB52,V52)</f>
        <v>7.6796031122251834E-2</v>
      </c>
      <c r="BG52" s="337">
        <f>AVERAGE(BA52,AU52,AO52,AI52,AC52,W52)</f>
        <v>7.5062860505539494E-2</v>
      </c>
      <c r="BH52" s="337">
        <f>AVERAGE(BB52,AV52,AP52,AJ52,AD52,X52)</f>
        <v>7.4994154266642479E-2</v>
      </c>
      <c r="BI52" s="443">
        <f>AVERAGE(BE52:BH52)</f>
        <v>7.6541438791278116E-2</v>
      </c>
      <c r="BJ52" s="625"/>
      <c r="BK52" s="337">
        <f>AVERAGE(BE52,AY52,AS52,AM52,AG52,AA52,U52,O52,I52,C52)</f>
        <v>8.5662192428195436E-2</v>
      </c>
      <c r="BL52" s="337">
        <f>AVERAGE(BF52,AZ52,AT52,AN52,AH52,AB52,V52,P52,J52,D52)</f>
        <v>8.0371707401508383E-2</v>
      </c>
      <c r="BM52" s="337">
        <f>AVERAGE(BG52,BA52,AU52,AO52,AI52,AC52,W52,Q52,K52,E52)</f>
        <v>7.9139703052238761E-2</v>
      </c>
      <c r="BN52" s="337">
        <f>AVERAGE(BH52,BB52,AV52,AP52,AJ52,AD52,X52,R52,L52,F52)</f>
        <v>8.0028611175747041E-2</v>
      </c>
      <c r="BO52" s="443">
        <f>AVERAGE(BK52:BN52)</f>
        <v>8.1300553514422405E-2</v>
      </c>
    </row>
    <row r="53" spans="1:67">
      <c r="A53" s="467" t="s">
        <v>100</v>
      </c>
      <c r="C53" s="444">
        <f>C32/C23</f>
        <v>-2.2483783081570122E-3</v>
      </c>
      <c r="D53" s="338">
        <f>D32/D23</f>
        <v>-1.1065532394246454E-3</v>
      </c>
      <c r="E53" s="338">
        <f>E32/E23</f>
        <v>-5.7154499726134685E-4</v>
      </c>
      <c r="F53" s="338">
        <f>F32/F23</f>
        <v>-4.421978504233994E-3</v>
      </c>
      <c r="G53" s="309">
        <f>G32/G23</f>
        <v>-2.0777744349872902E-3</v>
      </c>
      <c r="I53" s="444">
        <f>I32/I23</f>
        <v>-3.9878470693992089E-4</v>
      </c>
      <c r="J53" s="338">
        <f>J32/J23</f>
        <v>9.9630214098970723E-4</v>
      </c>
      <c r="K53" s="338">
        <f>K32/K23</f>
        <v>-1.1812410384010076E-3</v>
      </c>
      <c r="L53" s="338">
        <f>L32/L23</f>
        <v>-4.7319751480999856E-3</v>
      </c>
      <c r="M53" s="309">
        <f>M32/M23</f>
        <v>-1.3665411933389147E-3</v>
      </c>
      <c r="O53" s="444">
        <f>O32/O23</f>
        <v>3.8202497569921586E-3</v>
      </c>
      <c r="P53" s="338">
        <f>P32/P23</f>
        <v>-6.4926244247005219E-4</v>
      </c>
      <c r="Q53" s="338">
        <f>Q32/Q23</f>
        <v>-4.7887778859396097E-4</v>
      </c>
      <c r="R53" s="338">
        <f>R32/R23</f>
        <v>1.0390296266955988E-3</v>
      </c>
      <c r="S53" s="309">
        <f>S32/S23</f>
        <v>8.4901485556197049E-4</v>
      </c>
      <c r="U53" s="444">
        <f>U32/U23</f>
        <v>-2.7546027490120118E-3</v>
      </c>
      <c r="V53" s="338">
        <f>V32/V23</f>
        <v>-7.0422535211267609E-4</v>
      </c>
      <c r="W53" s="338">
        <f>W32/W23</f>
        <v>2.9101398098913957E-3</v>
      </c>
      <c r="X53" s="338">
        <f>X32/X23</f>
        <v>3.8558635501576255E-4</v>
      </c>
      <c r="Y53" s="309">
        <f>Y32/Y23</f>
        <v>-9.2236340036582837E-5</v>
      </c>
      <c r="AA53" s="444">
        <f>AA32/AA23</f>
        <v>-1.5195236516083687E-3</v>
      </c>
      <c r="AB53" s="338">
        <f>AB32/AB23</f>
        <v>-1.5974820229303433E-3</v>
      </c>
      <c r="AC53" s="338">
        <f>AC32/AC23</f>
        <v>2.0914807368318166E-4</v>
      </c>
      <c r="AD53" s="338">
        <f>AD32/AD23</f>
        <v>1.7811825301188675E-3</v>
      </c>
      <c r="AE53" s="309">
        <f>AE32/AE23</f>
        <v>-1.3532809574186863E-4</v>
      </c>
      <c r="AG53" s="444">
        <f>AG32/AG23</f>
        <v>6.0216797578326747E-4</v>
      </c>
      <c r="AH53" s="338">
        <f>AH32/AH23</f>
        <v>9.3267625738030773E-4</v>
      </c>
      <c r="AI53" s="338">
        <f>AI32/AI23</f>
        <v>7.6297460321652491E-5</v>
      </c>
      <c r="AJ53" s="338">
        <f>AJ32/AJ23</f>
        <v>3.1218263388253483E-4</v>
      </c>
      <c r="AK53" s="522">
        <f>AK32/AK23</f>
        <v>4.7845732352289365E-4</v>
      </c>
      <c r="AL53" s="540"/>
      <c r="AM53" s="337">
        <f t="shared" ref="AM53:AQ56" si="164">AVERAGE(AG53,AA53,U53,O53,I53,C53)</f>
        <v>-4.1647861382364785E-4</v>
      </c>
      <c r="AN53" s="337">
        <f t="shared" si="164"/>
        <v>-3.5475744309461702E-4</v>
      </c>
      <c r="AO53" s="337">
        <f t="shared" si="164"/>
        <v>1.6065358660665244E-4</v>
      </c>
      <c r="AP53" s="337">
        <f t="shared" si="164"/>
        <v>-9.3932875110353594E-4</v>
      </c>
      <c r="AQ53" s="452">
        <f t="shared" si="164"/>
        <v>-3.9073464750329876E-4</v>
      </c>
      <c r="AS53" s="442">
        <f t="shared" ref="AS53:AW56" si="165">AVERAGE(AM53,AG53,AA53,U53,O53,I53)</f>
        <v>-1.111619981014205E-4</v>
      </c>
      <c r="AT53" s="337">
        <f t="shared" si="165"/>
        <v>-2.2945814370627893E-4</v>
      </c>
      <c r="AU53" s="337">
        <f t="shared" si="165"/>
        <v>2.8268668391798565E-4</v>
      </c>
      <c r="AV53" s="337">
        <f t="shared" si="165"/>
        <v>-3.5888712558179302E-4</v>
      </c>
      <c r="AW53" s="452">
        <f t="shared" si="165"/>
        <v>-1.0956134958930014E-4</v>
      </c>
      <c r="AY53" s="442">
        <f t="shared" ref="AY53:BC56" si="166">AVERAGE(AS53,AM53,AG53,AA53,U53,O53)</f>
        <v>-6.322487996167055E-5</v>
      </c>
      <c r="AZ53" s="337">
        <f t="shared" si="166"/>
        <v>-4.3375152448894334E-4</v>
      </c>
      <c r="BA53" s="337">
        <f t="shared" si="166"/>
        <v>5.2667463763781785E-4</v>
      </c>
      <c r="BB53" s="337">
        <f t="shared" si="166"/>
        <v>3.6996087817123903E-4</v>
      </c>
      <c r="BC53" s="452">
        <f t="shared" si="166"/>
        <v>9.9935291035635625E-5</v>
      </c>
      <c r="BE53" s="442">
        <f t="shared" si="138"/>
        <v>-7.1047065278730863E-4</v>
      </c>
      <c r="BF53" s="337">
        <f t="shared" si="138"/>
        <v>-3.9783303815875849E-4</v>
      </c>
      <c r="BG53" s="337">
        <f t="shared" si="138"/>
        <v>6.9426670867644763E-4</v>
      </c>
      <c r="BH53" s="337">
        <f t="shared" si="138"/>
        <v>2.5844942008384581E-4</v>
      </c>
      <c r="BI53" s="452">
        <f t="shared" si="138"/>
        <v>-2.4911303052086849E-5</v>
      </c>
      <c r="BK53" s="442">
        <f t="shared" si="139"/>
        <v>-3.6978197008319147E-4</v>
      </c>
      <c r="BL53" s="337">
        <f t="shared" si="139"/>
        <v>-3.4676765249977225E-4</v>
      </c>
      <c r="BM53" s="337">
        <f t="shared" si="139"/>
        <v>3.2495452514062301E-4</v>
      </c>
      <c r="BN53" s="337">
        <f t="shared" si="139"/>
        <v>2.3725993092852638E-4</v>
      </c>
      <c r="BO53" s="452">
        <f t="shared" si="139"/>
        <v>-1.3690463554670853E-5</v>
      </c>
    </row>
    <row r="54" spans="1:67" hidden="1">
      <c r="A54" s="467" t="s">
        <v>101</v>
      </c>
      <c r="C54" s="444">
        <f>C33/C23</f>
        <v>0</v>
      </c>
      <c r="D54" s="338">
        <f>D33/D23</f>
        <v>-8.0301492584897733E-3</v>
      </c>
      <c r="E54" s="338">
        <f>E33/E23</f>
        <v>-2.4422964466306631E-3</v>
      </c>
      <c r="F54" s="338">
        <f>F33/F23</f>
        <v>0</v>
      </c>
      <c r="G54" s="309">
        <f>G33/G23</f>
        <v>-2.679476722746316E-3</v>
      </c>
      <c r="I54" s="444">
        <f>I33/I23</f>
        <v>0</v>
      </c>
      <c r="J54" s="338">
        <f>J33/J23</f>
        <v>0</v>
      </c>
      <c r="K54" s="338">
        <f>K33/K23</f>
        <v>-2.9281969114579197E-3</v>
      </c>
      <c r="L54" s="338">
        <f>L33/L23</f>
        <v>-2.2139258264934679E-5</v>
      </c>
      <c r="M54" s="309">
        <f>M33/M23</f>
        <v>-7.5387017495060307E-4</v>
      </c>
      <c r="O54" s="444">
        <f>O33/O23</f>
        <v>0</v>
      </c>
      <c r="P54" s="338">
        <f>P33/P23</f>
        <v>0</v>
      </c>
      <c r="Q54" s="338">
        <f>Q33/Q23</f>
        <v>-6.8624196449799703E-3</v>
      </c>
      <c r="R54" s="338">
        <f>R33/R23</f>
        <v>-1.3777188420273133E-5</v>
      </c>
      <c r="S54" s="309">
        <f>S33/S23</f>
        <v>-1.796793261805468E-3</v>
      </c>
      <c r="U54" s="444">
        <f>U33/U23</f>
        <v>0</v>
      </c>
      <c r="V54" s="338">
        <f>V33/V23</f>
        <v>0</v>
      </c>
      <c r="W54" s="338">
        <f>W33/W23</f>
        <v>0</v>
      </c>
      <c r="X54" s="338">
        <f>X33/X23</f>
        <v>0</v>
      </c>
      <c r="Y54" s="309">
        <f>Y33/Y23</f>
        <v>0</v>
      </c>
      <c r="AA54" s="444">
        <f>AA33/AA23</f>
        <v>0</v>
      </c>
      <c r="AB54" s="338">
        <f>AB33/AB23</f>
        <v>0</v>
      </c>
      <c r="AC54" s="338">
        <f>AC33/AC23</f>
        <v>0</v>
      </c>
      <c r="AD54" s="338">
        <f>AD33/AD23</f>
        <v>0</v>
      </c>
      <c r="AE54" s="309">
        <f>AE33/AE23</f>
        <v>0</v>
      </c>
      <c r="AG54" s="444">
        <f>AG33/AG23</f>
        <v>0</v>
      </c>
      <c r="AH54" s="338">
        <f>AH33/AH23</f>
        <v>0</v>
      </c>
      <c r="AI54" s="338">
        <f>AI33/AI23</f>
        <v>0</v>
      </c>
      <c r="AJ54" s="338">
        <f>AJ33/AJ23</f>
        <v>-3.3017812405621477E-4</v>
      </c>
      <c r="AK54" s="522">
        <f>AK33/AK23</f>
        <v>-8.1678394225995598E-5</v>
      </c>
      <c r="AL54" s="540"/>
      <c r="AM54" s="337">
        <f t="shared" si="164"/>
        <v>0</v>
      </c>
      <c r="AN54" s="337">
        <f t="shared" si="164"/>
        <v>-1.3383582097482956E-3</v>
      </c>
      <c r="AO54" s="337">
        <f t="shared" si="164"/>
        <v>-2.0388188338447588E-3</v>
      </c>
      <c r="AP54" s="337">
        <f t="shared" si="164"/>
        <v>-6.1015761790237097E-5</v>
      </c>
      <c r="AQ54" s="452">
        <f t="shared" si="164"/>
        <v>-8.8530309228806385E-4</v>
      </c>
      <c r="AS54" s="442">
        <f t="shared" si="165"/>
        <v>0</v>
      </c>
      <c r="AT54" s="337">
        <f t="shared" si="165"/>
        <v>-2.2305970162471593E-4</v>
      </c>
      <c r="AU54" s="337">
        <f t="shared" si="165"/>
        <v>-1.9715725650471081E-3</v>
      </c>
      <c r="AV54" s="337">
        <f t="shared" si="165"/>
        <v>-7.1185055421943283E-5</v>
      </c>
      <c r="AW54" s="452">
        <f t="shared" si="165"/>
        <v>-5.8627415387835517E-4</v>
      </c>
      <c r="AY54" s="442">
        <f t="shared" si="166"/>
        <v>0</v>
      </c>
      <c r="AZ54" s="337">
        <f t="shared" si="166"/>
        <v>-2.6023631856216857E-4</v>
      </c>
      <c r="BA54" s="337">
        <f t="shared" si="166"/>
        <v>-1.8121351739786393E-3</v>
      </c>
      <c r="BB54" s="337">
        <f t="shared" si="166"/>
        <v>-7.9359354948111373E-5</v>
      </c>
      <c r="BC54" s="452">
        <f t="shared" si="166"/>
        <v>-5.5834148369964713E-4</v>
      </c>
      <c r="BE54" s="442">
        <f t="shared" si="138"/>
        <v>0</v>
      </c>
      <c r="BF54" s="337">
        <f t="shared" si="138"/>
        <v>-3.0360903832253003E-4</v>
      </c>
      <c r="BG54" s="337">
        <f t="shared" si="138"/>
        <v>-9.7042109547841766E-4</v>
      </c>
      <c r="BH54" s="337">
        <f t="shared" si="138"/>
        <v>-9.0289716036084431E-5</v>
      </c>
      <c r="BI54" s="452">
        <f t="shared" si="138"/>
        <v>-3.5193285401534364E-4</v>
      </c>
      <c r="BK54" s="442">
        <f t="shared" si="139"/>
        <v>0</v>
      </c>
      <c r="BL54" s="337">
        <f t="shared" si="139"/>
        <v>-3.5421054470961832E-4</v>
      </c>
      <c r="BM54" s="337">
        <f t="shared" si="139"/>
        <v>-1.1321579447248207E-3</v>
      </c>
      <c r="BN54" s="337">
        <f t="shared" si="139"/>
        <v>-1.0533800204209849E-4</v>
      </c>
      <c r="BO54" s="452">
        <f t="shared" si="139"/>
        <v>-4.1058832968456755E-4</v>
      </c>
    </row>
    <row r="55" spans="1:67" hidden="1">
      <c r="A55" s="467" t="s">
        <v>102</v>
      </c>
      <c r="C55" s="444">
        <f>C34/C23</f>
        <v>0</v>
      </c>
      <c r="D55" s="338">
        <f>D34/D23</f>
        <v>4.2139353974824253E-2</v>
      </c>
      <c r="E55" s="338">
        <f>E34/E23</f>
        <v>-1.0187260367852711E-4</v>
      </c>
      <c r="F55" s="338">
        <f>F34/F23</f>
        <v>-1.2215631995054876E-3</v>
      </c>
      <c r="G55" s="309">
        <f>G34/G23</f>
        <v>1.0435392047071319E-2</v>
      </c>
      <c r="I55" s="444">
        <f>I34/I23</f>
        <v>0</v>
      </c>
      <c r="J55" s="338">
        <f>J34/J23</f>
        <v>0</v>
      </c>
      <c r="K55" s="338">
        <f>K34/K23</f>
        <v>0</v>
      </c>
      <c r="L55" s="338">
        <f>L34/L23</f>
        <v>0</v>
      </c>
      <c r="M55" s="309">
        <f>M34/M23</f>
        <v>0</v>
      </c>
      <c r="O55" s="444">
        <f>O34/O23</f>
        <v>0</v>
      </c>
      <c r="P55" s="338">
        <f>P34/P23</f>
        <v>0</v>
      </c>
      <c r="Q55" s="338">
        <f>Q34/Q23</f>
        <v>0</v>
      </c>
      <c r="R55" s="338">
        <f>R34/R23</f>
        <v>7.8874403706063686E-4</v>
      </c>
      <c r="S55" s="309">
        <f>S34/S23</f>
        <v>2.0133697127065024E-4</v>
      </c>
      <c r="U55" s="444">
        <f>U34/U23</f>
        <v>-3.5804012052697357E-3</v>
      </c>
      <c r="V55" s="338">
        <f>V34/V23</f>
        <v>-2.591549295774648E-4</v>
      </c>
      <c r="W55" s="338">
        <f>W34/W23</f>
        <v>-1.5140939046172166E-4</v>
      </c>
      <c r="X55" s="338">
        <f>X34/X23</f>
        <v>0</v>
      </c>
      <c r="Y55" s="309">
        <f>Y34/Y23</f>
        <v>-1.0737582205638057E-3</v>
      </c>
      <c r="AA55" s="444">
        <f>AA34/AA23</f>
        <v>0</v>
      </c>
      <c r="AB55" s="338">
        <f>AB34/AB23</f>
        <v>0</v>
      </c>
      <c r="AC55" s="338">
        <f>AC34/AC23</f>
        <v>0</v>
      </c>
      <c r="AD55" s="338">
        <f>AD34/AD23</f>
        <v>0</v>
      </c>
      <c r="AE55" s="309">
        <f>AE34/AE23</f>
        <v>0</v>
      </c>
      <c r="AG55" s="444">
        <f>AG34/AG23</f>
        <v>0</v>
      </c>
      <c r="AH55" s="338">
        <f>AH34/AH23</f>
        <v>6.5353694430190104E-3</v>
      </c>
      <c r="AI55" s="338">
        <f>AI34/AI23</f>
        <v>0</v>
      </c>
      <c r="AJ55" s="338">
        <f>AJ34/AJ23</f>
        <v>0</v>
      </c>
      <c r="AK55" s="522">
        <f>AK34/AK23</f>
        <v>1.7156333801403435E-3</v>
      </c>
      <c r="AL55" s="540"/>
      <c r="AM55" s="337">
        <f t="shared" si="164"/>
        <v>-5.9673353421162265E-4</v>
      </c>
      <c r="AN55" s="337">
        <f t="shared" si="164"/>
        <v>8.0692614147109664E-3</v>
      </c>
      <c r="AO55" s="337">
        <f t="shared" si="164"/>
        <v>-4.2213665690041458E-5</v>
      </c>
      <c r="AP55" s="337">
        <f t="shared" si="164"/>
        <v>-7.2136527074141793E-5</v>
      </c>
      <c r="AQ55" s="452">
        <f t="shared" si="164"/>
        <v>1.8797673629864179E-3</v>
      </c>
      <c r="AS55" s="442">
        <f t="shared" si="165"/>
        <v>-6.96189123246893E-4</v>
      </c>
      <c r="AT55" s="337">
        <f t="shared" si="165"/>
        <v>2.3909126546920855E-3</v>
      </c>
      <c r="AU55" s="337">
        <f t="shared" si="165"/>
        <v>-3.2270509358627184E-5</v>
      </c>
      <c r="AV55" s="337">
        <f t="shared" si="165"/>
        <v>1.1943458499774917E-4</v>
      </c>
      <c r="AW55" s="452">
        <f t="shared" si="165"/>
        <v>4.538299156389343E-4</v>
      </c>
      <c r="AY55" s="442">
        <f t="shared" si="166"/>
        <v>-8.1222064378804186E-4</v>
      </c>
      <c r="AZ55" s="337">
        <f t="shared" si="166"/>
        <v>2.7893980971407661E-3</v>
      </c>
      <c r="BA55" s="337">
        <f t="shared" si="166"/>
        <v>-3.7648927585065049E-5</v>
      </c>
      <c r="BB55" s="337">
        <f t="shared" si="166"/>
        <v>1.393403491640407E-4</v>
      </c>
      <c r="BC55" s="452">
        <f t="shared" si="166"/>
        <v>5.2946823491209006E-4</v>
      </c>
      <c r="BE55" s="442">
        <f t="shared" si="138"/>
        <v>-9.4759075108604882E-4</v>
      </c>
      <c r="BF55" s="337">
        <f t="shared" si="138"/>
        <v>3.2542977799975606E-3</v>
      </c>
      <c r="BG55" s="337">
        <f t="shared" si="138"/>
        <v>-4.3923748849242564E-5</v>
      </c>
      <c r="BH55" s="337">
        <f t="shared" si="138"/>
        <v>3.110640118127468E-5</v>
      </c>
      <c r="BI55" s="452">
        <f t="shared" si="138"/>
        <v>5.8415677885232992E-4</v>
      </c>
      <c r="BK55" s="442">
        <f t="shared" si="139"/>
        <v>-5.08789008722101E-4</v>
      </c>
      <c r="BL55" s="337">
        <f t="shared" si="139"/>
        <v>3.8398732315933978E-3</v>
      </c>
      <c r="BM55" s="337">
        <f t="shared" si="139"/>
        <v>-2.600947524716271E-5</v>
      </c>
      <c r="BN55" s="337">
        <f t="shared" si="139"/>
        <v>3.6290801378153791E-5</v>
      </c>
      <c r="BO55" s="452">
        <f t="shared" si="139"/>
        <v>8.6047594542168601E-4</v>
      </c>
    </row>
    <row r="56" spans="1:67">
      <c r="A56" s="470" t="s">
        <v>99</v>
      </c>
      <c r="C56" s="444">
        <f>C35/C89</f>
        <v>-1.3816672052329055E-2</v>
      </c>
      <c r="D56" s="338">
        <f>D35/D89</f>
        <v>-1.3828423521599995E-2</v>
      </c>
      <c r="E56" s="338">
        <f>E35/E89</f>
        <v>-1.2715478935356166E-2</v>
      </c>
      <c r="F56" s="338">
        <f>F35/F89</f>
        <v>-1.2343613218278022E-2</v>
      </c>
      <c r="G56" s="309">
        <f>G35/G89</f>
        <v>-5.2787478845452304E-2</v>
      </c>
      <c r="I56" s="444">
        <f>I35/I89</f>
        <v>-1.2471858331502855E-2</v>
      </c>
      <c r="J56" s="338">
        <f>J35/J89</f>
        <v>-1.2783070632789386E-2</v>
      </c>
      <c r="K56" s="338">
        <f>K35/K89</f>
        <v>-1.2323067822660684E-2</v>
      </c>
      <c r="L56" s="338">
        <f>L35/L89</f>
        <v>-1.2868197934724199E-2</v>
      </c>
      <c r="M56" s="309">
        <f>M35/M89</f>
        <v>-5.1816557094122057E-2</v>
      </c>
      <c r="O56" s="444">
        <f>O35/O89</f>
        <v>-1.2636788245561874E-2</v>
      </c>
      <c r="P56" s="338">
        <f>P35/P89</f>
        <v>-1.2933552315467351E-2</v>
      </c>
      <c r="Q56" s="338">
        <f>Q35/Q89</f>
        <v>-1.2668002780247895E-2</v>
      </c>
      <c r="R56" s="338">
        <f>R35/R89</f>
        <v>-1.2218521654754214E-2</v>
      </c>
      <c r="S56" s="309">
        <f>S35/S89</f>
        <v>-5.0620417008768973E-2</v>
      </c>
      <c r="U56" s="444">
        <f>U35/U89</f>
        <v>-1.1031760571981547E-2</v>
      </c>
      <c r="V56" s="338">
        <f>V35/V89</f>
        <v>-1.1466182629108269E-2</v>
      </c>
      <c r="W56" s="338">
        <f>W35/W89</f>
        <v>-1.1224847751677246E-2</v>
      </c>
      <c r="X56" s="338">
        <f>X35/X89</f>
        <v>-1.1791118071863097E-2</v>
      </c>
      <c r="Y56" s="309">
        <f>Y35/Y89</f>
        <v>-4.718512223153621E-2</v>
      </c>
      <c r="AA56" s="444">
        <f>AA35/AA89</f>
        <v>-1.1571070902030781E-2</v>
      </c>
      <c r="AB56" s="338">
        <f>AB35/AB89</f>
        <v>-1.1665389253443523E-2</v>
      </c>
      <c r="AC56" s="338">
        <f>AC35/AC89</f>
        <v>-1.1630463744047019E-2</v>
      </c>
      <c r="AD56" s="338">
        <f>AD35/AD89</f>
        <v>-9.4174707909022715E-3</v>
      </c>
      <c r="AE56" s="309">
        <f>AE35/AE89</f>
        <v>-3.0852705417191095E-2</v>
      </c>
      <c r="AG56" s="444">
        <f>AG35/AG89</f>
        <v>-9.9512956533637977E-3</v>
      </c>
      <c r="AH56" s="338">
        <f>AH35/AH89</f>
        <v>-1.045654595467954E-2</v>
      </c>
      <c r="AI56" s="338">
        <f>AI35/AI89</f>
        <v>-1.1196812052572105E-2</v>
      </c>
      <c r="AJ56" s="338">
        <f>AJ35/AJ89</f>
        <v>-1.1722988138285626E-2</v>
      </c>
      <c r="AK56" s="522">
        <f>AK35/AK89</f>
        <v>-4.4584127730836316E-2</v>
      </c>
      <c r="AL56" s="540"/>
      <c r="AM56" s="337">
        <f t="shared" si="164"/>
        <v>-1.1913240959461653E-2</v>
      </c>
      <c r="AN56" s="337">
        <f t="shared" si="164"/>
        <v>-1.2188860717848011E-2</v>
      </c>
      <c r="AO56" s="337">
        <f t="shared" si="164"/>
        <v>-1.1959778847760186E-2</v>
      </c>
      <c r="AP56" s="337">
        <f t="shared" si="164"/>
        <v>-1.172698496813457E-2</v>
      </c>
      <c r="AQ56" s="452">
        <f>AVERAGE(AM56:AP56)</f>
        <v>-1.1947216373301105E-2</v>
      </c>
      <c r="AS56" s="442">
        <f t="shared" si="165"/>
        <v>-1.1596002443983752E-2</v>
      </c>
      <c r="AT56" s="337">
        <f t="shared" si="165"/>
        <v>-1.1915600250556014E-2</v>
      </c>
      <c r="AU56" s="337">
        <f t="shared" si="165"/>
        <v>-1.1833828833160856E-2</v>
      </c>
      <c r="AV56" s="337">
        <f t="shared" si="165"/>
        <v>-1.1624213593110661E-2</v>
      </c>
      <c r="AW56" s="452">
        <f>AVERAGE(AS56:AV56)</f>
        <v>-1.174241128020282E-2</v>
      </c>
      <c r="AY56" s="442">
        <f t="shared" si="166"/>
        <v>-1.1450026462730566E-2</v>
      </c>
      <c r="AZ56" s="337">
        <f t="shared" si="166"/>
        <v>-1.1771021853517118E-2</v>
      </c>
      <c r="BA56" s="337">
        <f t="shared" si="166"/>
        <v>-1.1752289001577551E-2</v>
      </c>
      <c r="BB56" s="337">
        <f t="shared" si="166"/>
        <v>-1.1416882869508406E-2</v>
      </c>
      <c r="BC56" s="452">
        <f>AVERAGE(AY56:BB56)</f>
        <v>-1.1597555046833409E-2</v>
      </c>
      <c r="BE56" s="442">
        <f t="shared" si="138"/>
        <v>-1.1252232832258685E-2</v>
      </c>
      <c r="BF56" s="337">
        <f t="shared" si="138"/>
        <v>-1.1577266776525411E-2</v>
      </c>
      <c r="BG56" s="337">
        <f t="shared" si="138"/>
        <v>-1.1599670038465827E-2</v>
      </c>
      <c r="BH56" s="337">
        <f t="shared" si="138"/>
        <v>-1.1283276405300772E-2</v>
      </c>
      <c r="BI56" s="452">
        <f>AVERAGE(BE56:BH56)</f>
        <v>-1.1428111513137674E-2</v>
      </c>
      <c r="BK56" s="442">
        <f t="shared" si="139"/>
        <v>-1.128897820897154E-2</v>
      </c>
      <c r="BL56" s="337">
        <f t="shared" si="139"/>
        <v>-1.1595780801094935E-2</v>
      </c>
      <c r="BM56" s="337">
        <f t="shared" si="139"/>
        <v>-1.1662140419597256E-2</v>
      </c>
      <c r="BN56" s="337">
        <f t="shared" si="139"/>
        <v>-1.1198636127540384E-2</v>
      </c>
      <c r="BO56" s="452">
        <f>AVERAGE(BK56:BN56)</f>
        <v>-1.1436383889301028E-2</v>
      </c>
    </row>
    <row r="57" spans="1:67" ht="17.25" thickBot="1">
      <c r="A57" s="471" t="s">
        <v>103</v>
      </c>
      <c r="C57" s="445">
        <f>C37/C36</f>
        <v>-0.14450032099293816</v>
      </c>
      <c r="D57" s="446">
        <f>D37/D36</f>
        <v>0.47286948020205311</v>
      </c>
      <c r="E57" s="446">
        <f>E37/E36</f>
        <v>0.5104940526935412</v>
      </c>
      <c r="F57" s="446">
        <f>F37/F36</f>
        <v>-22.054216867469879</v>
      </c>
      <c r="G57" s="447">
        <f>G37/G36</f>
        <v>-0.71648860944981174</v>
      </c>
      <c r="I57" s="445">
        <f>I37/I36</f>
        <v>-0.31875130507412819</v>
      </c>
      <c r="J57" s="446">
        <f>J37/J36</f>
        <v>0.30796758946657665</v>
      </c>
      <c r="K57" s="446">
        <f>K37/K36</f>
        <v>0.2661457841563592</v>
      </c>
      <c r="L57" s="446">
        <f>L37/L36</f>
        <v>4.8360940576856248E-2</v>
      </c>
      <c r="M57" s="447">
        <f>M37/M36</f>
        <v>0.30530683093075928</v>
      </c>
      <c r="O57" s="445">
        <f>O37/O36</f>
        <v>0.85962893714943189</v>
      </c>
      <c r="P57" s="446">
        <f>P37/P36</f>
        <v>0.30658707838298033</v>
      </c>
      <c r="Q57" s="446">
        <f>Q37/Q36</f>
        <v>0.32798093091150982</v>
      </c>
      <c r="R57" s="446">
        <f>R37/R36</f>
        <v>0.30795461057940282</v>
      </c>
      <c r="S57" s="447">
        <f>S37/S36</f>
        <v>0.34065934065934067</v>
      </c>
      <c r="U57" s="445">
        <f>U37/U36</f>
        <v>0.45594734367653972</v>
      </c>
      <c r="V57" s="446">
        <f>V37/V36</f>
        <v>0.29007876326989873</v>
      </c>
      <c r="W57" s="446">
        <f>W37/W36</f>
        <v>0.1998192999329661</v>
      </c>
      <c r="X57" s="446">
        <f>X37/X36</f>
        <v>0.10151681286549707</v>
      </c>
      <c r="Y57" s="447">
        <f>Y37/Y36</f>
        <v>0.22751647092523633</v>
      </c>
      <c r="AA57" s="445">
        <f>AA37/AA36</f>
        <v>0.31451638336119081</v>
      </c>
      <c r="AB57" s="446">
        <f>AB37/AB36</f>
        <v>0.25859400906377805</v>
      </c>
      <c r="AC57" s="446">
        <f>AC37/AC36</f>
        <v>0.24819639738994578</v>
      </c>
      <c r="AD57" s="446">
        <f>AD37/AD36</f>
        <v>0.19003769342679538</v>
      </c>
      <c r="AE57" s="447">
        <f>AE37/AE36</f>
        <v>0.24643790667927257</v>
      </c>
      <c r="AG57" s="445">
        <f>AG37/AG36</f>
        <v>0.27820962089837525</v>
      </c>
      <c r="AH57" s="446">
        <f>AH37/AH36</f>
        <v>0.24038801700137918</v>
      </c>
      <c r="AI57" s="446">
        <f>AI37/AI36</f>
        <v>0.25018497045994148</v>
      </c>
      <c r="AJ57" s="446">
        <f>AJ37/AJ36</f>
        <v>0.16747589966183818</v>
      </c>
      <c r="AK57" s="523">
        <f>AK37/AK36</f>
        <v>0.23467373484659795</v>
      </c>
      <c r="AL57" s="540"/>
      <c r="AM57" s="454">
        <f>AVERAGE(AG57:AJ57)</f>
        <v>0.23406462700538352</v>
      </c>
      <c r="AN57" s="454">
        <f>$AM$57</f>
        <v>0.23406462700538352</v>
      </c>
      <c r="AO57" s="454">
        <f>$AM$57</f>
        <v>0.23406462700538352</v>
      </c>
      <c r="AP57" s="454">
        <f>$AM$57</f>
        <v>0.23406462700538352</v>
      </c>
      <c r="AQ57" s="455">
        <f>AVERAGE(AM57:AP57)</f>
        <v>0.23406462700538352</v>
      </c>
      <c r="AS57" s="453">
        <f>$AM$57</f>
        <v>0.23406462700538352</v>
      </c>
      <c r="AT57" s="454">
        <f>$AM$57</f>
        <v>0.23406462700538352</v>
      </c>
      <c r="AU57" s="454">
        <f>$AM$57</f>
        <v>0.23406462700538352</v>
      </c>
      <c r="AV57" s="454">
        <f>$AM$57</f>
        <v>0.23406462700538352</v>
      </c>
      <c r="AW57" s="455">
        <f>AVERAGE(AS57:AV57)</f>
        <v>0.23406462700538352</v>
      </c>
      <c r="AY57" s="453">
        <f>$AM$57</f>
        <v>0.23406462700538352</v>
      </c>
      <c r="AZ57" s="454">
        <f>$AM$57</f>
        <v>0.23406462700538352</v>
      </c>
      <c r="BA57" s="454">
        <f>$AM$57</f>
        <v>0.23406462700538352</v>
      </c>
      <c r="BB57" s="454">
        <f>$AM$57</f>
        <v>0.23406462700538352</v>
      </c>
      <c r="BC57" s="455">
        <f>AVERAGE(AY57:BB57)</f>
        <v>0.23406462700538352</v>
      </c>
      <c r="BE57" s="453">
        <f>$AM$57</f>
        <v>0.23406462700538352</v>
      </c>
      <c r="BF57" s="454">
        <f>$AM$57</f>
        <v>0.23406462700538352</v>
      </c>
      <c r="BG57" s="454">
        <f>$AM$57</f>
        <v>0.23406462700538352</v>
      </c>
      <c r="BH57" s="454">
        <f>$AM$57</f>
        <v>0.23406462700538352</v>
      </c>
      <c r="BI57" s="455">
        <f>AVERAGE(BE57:BH57)</f>
        <v>0.23406462700538352</v>
      </c>
      <c r="BK57" s="453">
        <f>$AM$57</f>
        <v>0.23406462700538352</v>
      </c>
      <c r="BL57" s="454">
        <f>$AM$57</f>
        <v>0.23406462700538352</v>
      </c>
      <c r="BM57" s="454">
        <f>$AM$57</f>
        <v>0.23406462700538352</v>
      </c>
      <c r="BN57" s="454">
        <f>$AM$57</f>
        <v>0.23406462700538352</v>
      </c>
      <c r="BO57" s="455">
        <f>AVERAGE(BK57:BN57)</f>
        <v>0.23406462700538352</v>
      </c>
    </row>
    <row r="58" spans="1:67" ht="17.25" thickBot="1">
      <c r="C58" s="23"/>
      <c r="D58" s="5"/>
      <c r="E58" s="5"/>
      <c r="F58" s="5"/>
      <c r="G58" s="5"/>
      <c r="I58" s="5"/>
      <c r="J58" s="5"/>
      <c r="K58" s="5"/>
      <c r="L58" s="5"/>
      <c r="M58" s="5"/>
      <c r="O58" s="5"/>
      <c r="P58" s="5"/>
      <c r="Q58" s="5"/>
      <c r="R58" s="5"/>
      <c r="S58" s="5"/>
      <c r="U58" s="5"/>
      <c r="V58" s="5"/>
      <c r="W58" s="5"/>
      <c r="X58" s="5"/>
      <c r="Y58" s="5"/>
      <c r="AA58" s="5"/>
      <c r="AB58" s="5"/>
      <c r="AC58" s="5"/>
      <c r="AD58" s="5"/>
      <c r="AE58" s="5"/>
      <c r="AG58" s="5"/>
      <c r="AH58" s="5"/>
      <c r="AI58" s="5"/>
      <c r="AJ58" s="5"/>
      <c r="AK58" s="5"/>
      <c r="AL58" s="504"/>
      <c r="AM58" s="5"/>
      <c r="AN58" s="5"/>
      <c r="AO58" s="5"/>
      <c r="AP58" s="5"/>
      <c r="AQ58" s="24"/>
      <c r="AS58" s="5"/>
      <c r="AT58" s="5"/>
      <c r="AU58" s="5"/>
      <c r="AV58" s="5"/>
      <c r="AW58" s="24"/>
      <c r="AY58" s="5"/>
      <c r="AZ58" s="5"/>
      <c r="BA58" s="5"/>
      <c r="BB58" s="5"/>
      <c r="BC58" s="24"/>
      <c r="BE58" s="5"/>
      <c r="BF58" s="5"/>
      <c r="BG58" s="5"/>
      <c r="BH58" s="5"/>
      <c r="BI58" s="24"/>
      <c r="BK58" s="5"/>
      <c r="BL58" s="5"/>
      <c r="BM58" s="5"/>
      <c r="BN58" s="5"/>
      <c r="BO58" s="24"/>
    </row>
    <row r="59" spans="1:67" ht="17.25" thickBot="1">
      <c r="A59" s="320" t="s">
        <v>93</v>
      </c>
      <c r="C59" s="346"/>
      <c r="D59" s="321"/>
      <c r="E59" s="321"/>
      <c r="F59" s="322"/>
      <c r="G59" s="323"/>
      <c r="I59" s="361"/>
      <c r="J59" s="362"/>
      <c r="K59" s="362"/>
      <c r="L59" s="363"/>
      <c r="M59" s="364"/>
      <c r="O59" s="361"/>
      <c r="P59" s="362"/>
      <c r="Q59" s="362"/>
      <c r="R59" s="363"/>
      <c r="S59" s="364"/>
      <c r="U59" s="361"/>
      <c r="V59" s="362"/>
      <c r="W59" s="362"/>
      <c r="X59" s="363"/>
      <c r="Y59" s="364"/>
      <c r="AA59" s="361"/>
      <c r="AB59" s="362"/>
      <c r="AC59" s="362"/>
      <c r="AD59" s="363"/>
      <c r="AE59" s="364"/>
      <c r="AG59" s="361"/>
      <c r="AH59" s="362"/>
      <c r="AI59" s="362"/>
      <c r="AJ59" s="363"/>
      <c r="AK59" s="362"/>
      <c r="AL59" s="541"/>
      <c r="AM59" s="382"/>
      <c r="AN59" s="363"/>
      <c r="AO59" s="363"/>
      <c r="AP59" s="363"/>
      <c r="AQ59" s="383"/>
      <c r="AS59" s="382"/>
      <c r="AT59" s="363"/>
      <c r="AU59" s="363"/>
      <c r="AV59" s="363"/>
      <c r="AW59" s="383"/>
      <c r="AY59" s="382"/>
      <c r="AZ59" s="363"/>
      <c r="BA59" s="363"/>
      <c r="BB59" s="363"/>
      <c r="BC59" s="383"/>
      <c r="BE59" s="382"/>
      <c r="BF59" s="363"/>
      <c r="BG59" s="363"/>
      <c r="BH59" s="363"/>
      <c r="BI59" s="383"/>
      <c r="BK59" s="382"/>
      <c r="BL59" s="363"/>
      <c r="BM59" s="363"/>
      <c r="BN59" s="363"/>
      <c r="BO59" s="383"/>
    </row>
    <row r="60" spans="1:67">
      <c r="A60" s="466" t="s">
        <v>41</v>
      </c>
      <c r="C60" s="377"/>
      <c r="D60" s="5"/>
      <c r="E60" s="5"/>
      <c r="F60" s="5"/>
      <c r="G60" s="307"/>
      <c r="I60" s="377"/>
      <c r="J60" s="5"/>
      <c r="K60" s="5"/>
      <c r="L60" s="5"/>
      <c r="M60" s="307"/>
      <c r="O60" s="377"/>
      <c r="P60" s="5"/>
      <c r="Q60" s="5"/>
      <c r="R60" s="5"/>
      <c r="S60" s="307"/>
      <c r="U60" s="377"/>
      <c r="V60" s="5"/>
      <c r="W60" s="5"/>
      <c r="X60" s="5"/>
      <c r="Y60" s="307"/>
      <c r="AA60" s="377"/>
      <c r="AB60" s="5"/>
      <c r="AC60" s="5"/>
      <c r="AD60" s="5"/>
      <c r="AE60" s="307"/>
      <c r="AG60" s="377"/>
      <c r="AH60" s="16" t="s">
        <v>36</v>
      </c>
      <c r="AI60" s="16" t="s">
        <v>36</v>
      </c>
      <c r="AJ60" s="5"/>
      <c r="AK60" s="524" t="s">
        <v>36</v>
      </c>
      <c r="AL60" s="540"/>
      <c r="AM60" s="5"/>
      <c r="AN60" s="5"/>
      <c r="AO60" s="5"/>
      <c r="AP60" s="5"/>
      <c r="AQ60" s="386"/>
      <c r="AS60" s="377"/>
      <c r="AT60" s="5"/>
      <c r="AU60" s="5"/>
      <c r="AV60" s="5"/>
      <c r="AW60" s="386"/>
      <c r="AY60" s="377"/>
      <c r="AZ60" s="5"/>
      <c r="BA60" s="5"/>
      <c r="BB60" s="5"/>
      <c r="BC60" s="386"/>
      <c r="BE60" s="377"/>
      <c r="BF60" s="5"/>
      <c r="BG60" s="5"/>
      <c r="BH60" s="5"/>
      <c r="BI60" s="386"/>
      <c r="BK60" s="377"/>
      <c r="BL60" s="5"/>
      <c r="BM60" s="5"/>
      <c r="BN60" s="5"/>
      <c r="BO60" s="386"/>
    </row>
    <row r="61" spans="1:67">
      <c r="A61" s="470"/>
      <c r="C61" s="378"/>
      <c r="G61" s="308"/>
      <c r="I61" s="378"/>
      <c r="M61" s="308"/>
      <c r="O61" s="378"/>
      <c r="S61" s="308"/>
      <c r="U61" s="378"/>
      <c r="Y61" s="308"/>
      <c r="AA61" s="378"/>
      <c r="AE61" s="308"/>
      <c r="AG61" s="378"/>
      <c r="AK61" s="525"/>
      <c r="AL61" s="540"/>
      <c r="AQ61" s="392"/>
      <c r="AS61" s="378"/>
      <c r="AW61" s="392"/>
      <c r="AY61" s="378"/>
      <c r="BC61" s="392"/>
      <c r="BE61" s="378"/>
      <c r="BI61" s="392"/>
      <c r="BK61" s="378"/>
      <c r="BO61" s="392"/>
    </row>
    <row r="62" spans="1:67">
      <c r="A62" s="467" t="s">
        <v>42</v>
      </c>
      <c r="C62" s="393">
        <v>297366</v>
      </c>
      <c r="D62" s="8">
        <v>446366</v>
      </c>
      <c r="E62" s="8">
        <v>361658</v>
      </c>
      <c r="F62" s="24">
        <f>G62</f>
        <v>319399</v>
      </c>
      <c r="G62" s="317">
        <v>319399</v>
      </c>
      <c r="H62" s="500"/>
      <c r="I62" s="393">
        <v>186352</v>
      </c>
      <c r="J62" s="8">
        <v>197068</v>
      </c>
      <c r="K62" s="8">
        <v>215497</v>
      </c>
      <c r="L62" s="24">
        <f>M62</f>
        <v>226507</v>
      </c>
      <c r="M62" s="317">
        <v>226507</v>
      </c>
      <c r="N62" s="500"/>
      <c r="O62" s="393">
        <v>167371</v>
      </c>
      <c r="P62" s="8">
        <v>204455</v>
      </c>
      <c r="Q62" s="8">
        <v>282233</v>
      </c>
      <c r="R62" s="24">
        <f>S62</f>
        <v>371991</v>
      </c>
      <c r="S62" s="317">
        <v>371991</v>
      </c>
      <c r="T62" s="500"/>
      <c r="U62" s="393">
        <v>432205</v>
      </c>
      <c r="V62" s="8">
        <v>447366</v>
      </c>
      <c r="W62" s="8">
        <v>475706</v>
      </c>
      <c r="X62" s="24">
        <f>Y62</f>
        <v>519101</v>
      </c>
      <c r="Y62" s="317">
        <v>519101</v>
      </c>
      <c r="Z62" s="500"/>
      <c r="AA62" s="393">
        <v>496383</v>
      </c>
      <c r="AB62" s="8">
        <v>595574</v>
      </c>
      <c r="AC62" s="8">
        <v>646663</v>
      </c>
      <c r="AD62" s="24">
        <f>AE62</f>
        <v>452575</v>
      </c>
      <c r="AE62" s="317">
        <v>452575</v>
      </c>
      <c r="AF62" s="500"/>
      <c r="AG62" s="393">
        <v>339584</v>
      </c>
      <c r="AH62" s="8">
        <v>344631</v>
      </c>
      <c r="AI62" s="8">
        <v>449023</v>
      </c>
      <c r="AJ62" s="24">
        <f>AK62</f>
        <v>492603</v>
      </c>
      <c r="AK62" s="517">
        <v>492603</v>
      </c>
      <c r="AL62" s="540"/>
      <c r="AM62" s="5">
        <f>AJ62+AM125</f>
        <v>529264.65396710753</v>
      </c>
      <c r="AN62" s="5">
        <f>AM62+AN125</f>
        <v>474535.70239831635</v>
      </c>
      <c r="AO62" s="5">
        <f>AN62+AO125</f>
        <v>570143.12552977982</v>
      </c>
      <c r="AP62" s="5">
        <f>AO62+AP125</f>
        <v>723704.87626043032</v>
      </c>
      <c r="AQ62" s="307">
        <f t="shared" ref="AQ62:AQ96" si="167">AP62</f>
        <v>723704.87626043032</v>
      </c>
      <c r="AS62" s="377">
        <f>AP62+AS125</f>
        <v>686837.0071834306</v>
      </c>
      <c r="AT62" s="5">
        <f>AS62+AT125</f>
        <v>633302.26740839309</v>
      </c>
      <c r="AU62" s="5">
        <f>AT62+AU125</f>
        <v>801012.23194630432</v>
      </c>
      <c r="AV62" s="5">
        <f>AU62+AV125</f>
        <v>980087.88347785245</v>
      </c>
      <c r="AW62" s="307">
        <f>AV62</f>
        <v>980087.88347785245</v>
      </c>
      <c r="AY62" s="377">
        <f>AV62+AY125</f>
        <v>930576.48237656546</v>
      </c>
      <c r="AZ62" s="5">
        <f>AY62+AZ125</f>
        <v>851323.67195538373</v>
      </c>
      <c r="BA62" s="5">
        <f>AZ62+BA125</f>
        <v>1060575.6956430573</v>
      </c>
      <c r="BB62" s="5">
        <f>BA62+BB125</f>
        <v>1257299.4969913764</v>
      </c>
      <c r="BC62" s="307">
        <f>BB62</f>
        <v>1257299.4969913764</v>
      </c>
      <c r="BE62" s="377">
        <f>BB62+BE125</f>
        <v>1211333.9202312629</v>
      </c>
      <c r="BF62" s="5">
        <f>BE62+BF125</f>
        <v>1074995.1774680652</v>
      </c>
      <c r="BG62" s="5">
        <f>BF62+BG125</f>
        <v>1358618.1796104072</v>
      </c>
      <c r="BH62" s="5">
        <f>BG62+BH125</f>
        <v>1592183.4199239104</v>
      </c>
      <c r="BI62" s="307">
        <f>BH62</f>
        <v>1592183.4199239104</v>
      </c>
      <c r="BK62" s="377">
        <f>BH62+BK125</f>
        <v>1530446.7743220562</v>
      </c>
      <c r="BL62" s="5">
        <f>BK62+BL125</f>
        <v>1413672.7901224247</v>
      </c>
      <c r="BM62" s="5">
        <f>BL62+BM125</f>
        <v>1745925.459807531</v>
      </c>
      <c r="BN62" s="5">
        <f>BM62+BN125</f>
        <v>2096667.6460723574</v>
      </c>
      <c r="BO62" s="307">
        <f>BN62</f>
        <v>2096667.6460723574</v>
      </c>
    </row>
    <row r="63" spans="1:67">
      <c r="A63" s="467" t="s">
        <v>72</v>
      </c>
      <c r="C63" s="501">
        <v>0</v>
      </c>
      <c r="D63" s="24">
        <v>0</v>
      </c>
      <c r="E63" s="24">
        <v>0</v>
      </c>
      <c r="F63" s="24">
        <f t="shared" ref="F63:F70" si="168">G63</f>
        <v>38179</v>
      </c>
      <c r="G63" s="317">
        <v>38179</v>
      </c>
      <c r="H63" s="500"/>
      <c r="I63" s="393">
        <v>37792</v>
      </c>
      <c r="J63" s="8">
        <v>36862</v>
      </c>
      <c r="K63" s="8">
        <v>37380</v>
      </c>
      <c r="L63" s="24">
        <f t="shared" ref="L63:L70" si="169">M63</f>
        <v>52856</v>
      </c>
      <c r="M63" s="317">
        <v>52856</v>
      </c>
      <c r="N63" s="500"/>
      <c r="O63" s="393">
        <v>57477</v>
      </c>
      <c r="P63" s="8">
        <v>55198</v>
      </c>
      <c r="Q63" s="8">
        <v>46877</v>
      </c>
      <c r="R63" s="24">
        <f t="shared" ref="R63:R91" si="170">S63</f>
        <v>42421</v>
      </c>
      <c r="S63" s="317">
        <v>42421</v>
      </c>
      <c r="T63" s="500"/>
      <c r="U63" s="393">
        <v>62143</v>
      </c>
      <c r="V63" s="8">
        <v>59326</v>
      </c>
      <c r="W63" s="8">
        <v>56639</v>
      </c>
      <c r="X63" s="24">
        <f t="shared" ref="X63:X100" si="171">Y63</f>
        <v>51857</v>
      </c>
      <c r="Y63" s="317">
        <v>51857</v>
      </c>
      <c r="Z63" s="500"/>
      <c r="AA63" s="393">
        <v>74320</v>
      </c>
      <c r="AB63" s="8">
        <v>70683</v>
      </c>
      <c r="AC63" s="8">
        <v>64844</v>
      </c>
      <c r="AD63" s="24">
        <f t="shared" ref="AD63:AD100" si="172">AE63</f>
        <v>81724</v>
      </c>
      <c r="AE63" s="317">
        <v>81724</v>
      </c>
      <c r="AF63" s="500"/>
      <c r="AG63" s="393">
        <v>75364</v>
      </c>
      <c r="AH63" s="8">
        <v>70797</v>
      </c>
      <c r="AI63" s="8">
        <v>65034</v>
      </c>
      <c r="AJ63" s="24">
        <f t="shared" ref="AJ63:AJ100" si="173">AK63</f>
        <v>62033</v>
      </c>
      <c r="AK63" s="517">
        <v>62033</v>
      </c>
      <c r="AL63" s="540"/>
      <c r="AM63" s="5">
        <f>AK63</f>
        <v>62033</v>
      </c>
      <c r="AN63" s="5">
        <f t="shared" ref="AN63:BO78" si="174">AM63</f>
        <v>62033</v>
      </c>
      <c r="AO63" s="5">
        <f t="shared" si="174"/>
        <v>62033</v>
      </c>
      <c r="AP63" s="5">
        <f t="shared" si="174"/>
        <v>62033</v>
      </c>
      <c r="AQ63" s="307">
        <f t="shared" si="167"/>
        <v>62033</v>
      </c>
      <c r="AS63" s="377">
        <f>AQ63</f>
        <v>62033</v>
      </c>
      <c r="AT63" s="5">
        <f t="shared" si="174"/>
        <v>62033</v>
      </c>
      <c r="AU63" s="5">
        <f t="shared" si="174"/>
        <v>62033</v>
      </c>
      <c r="AV63" s="5">
        <f t="shared" si="174"/>
        <v>62033</v>
      </c>
      <c r="AW63" s="307">
        <f t="shared" si="174"/>
        <v>62033</v>
      </c>
      <c r="AY63" s="377">
        <f>AW63</f>
        <v>62033</v>
      </c>
      <c r="AZ63" s="5">
        <f t="shared" si="174"/>
        <v>62033</v>
      </c>
      <c r="BA63" s="5">
        <f t="shared" si="174"/>
        <v>62033</v>
      </c>
      <c r="BB63" s="5">
        <f t="shared" si="174"/>
        <v>62033</v>
      </c>
      <c r="BC63" s="307">
        <f t="shared" si="174"/>
        <v>62033</v>
      </c>
      <c r="BE63" s="377">
        <f>BC63</f>
        <v>62033</v>
      </c>
      <c r="BF63" s="5">
        <f t="shared" si="174"/>
        <v>62033</v>
      </c>
      <c r="BG63" s="5">
        <f t="shared" si="174"/>
        <v>62033</v>
      </c>
      <c r="BH63" s="5">
        <f t="shared" si="174"/>
        <v>62033</v>
      </c>
      <c r="BI63" s="307">
        <f t="shared" si="174"/>
        <v>62033</v>
      </c>
      <c r="BK63" s="377">
        <f>BI63</f>
        <v>62033</v>
      </c>
      <c r="BL63" s="5">
        <f t="shared" si="174"/>
        <v>62033</v>
      </c>
      <c r="BM63" s="5">
        <f t="shared" si="174"/>
        <v>62033</v>
      </c>
      <c r="BN63" s="5">
        <f t="shared" si="174"/>
        <v>62033</v>
      </c>
      <c r="BO63" s="307">
        <f t="shared" si="174"/>
        <v>62033</v>
      </c>
    </row>
    <row r="64" spans="1:67">
      <c r="A64" s="467" t="s">
        <v>282</v>
      </c>
      <c r="C64" s="393">
        <v>480044</v>
      </c>
      <c r="D64" s="8">
        <v>512375</v>
      </c>
      <c r="E64" s="8">
        <v>531696</v>
      </c>
      <c r="F64" s="24">
        <f t="shared" si="168"/>
        <v>528924</v>
      </c>
      <c r="G64" s="317">
        <v>528924</v>
      </c>
      <c r="H64" s="500"/>
      <c r="I64" s="393">
        <v>551841</v>
      </c>
      <c r="J64" s="8">
        <v>590580</v>
      </c>
      <c r="K64" s="8">
        <v>608645</v>
      </c>
      <c r="L64" s="24">
        <f t="shared" si="169"/>
        <v>606952</v>
      </c>
      <c r="M64" s="317">
        <v>606952</v>
      </c>
      <c r="N64" s="500"/>
      <c r="O64" s="393">
        <v>613507</v>
      </c>
      <c r="P64" s="8">
        <v>632888</v>
      </c>
      <c r="Q64" s="8">
        <v>641667</v>
      </c>
      <c r="R64" s="24">
        <f t="shared" si="170"/>
        <v>644738</v>
      </c>
      <c r="S64" s="317">
        <v>644738</v>
      </c>
      <c r="T64" s="500"/>
      <c r="U64" s="393">
        <v>658482</v>
      </c>
      <c r="V64" s="8">
        <v>572373</v>
      </c>
      <c r="W64" s="8">
        <v>602069</v>
      </c>
      <c r="X64" s="24">
        <f t="shared" si="171"/>
        <v>611534</v>
      </c>
      <c r="Y64" s="317">
        <v>611534</v>
      </c>
      <c r="Z64" s="500"/>
      <c r="AA64" s="393">
        <v>620184</v>
      </c>
      <c r="AB64" s="8">
        <v>659364</v>
      </c>
      <c r="AC64" s="8">
        <v>703199</v>
      </c>
      <c r="AD64" s="24">
        <f t="shared" si="172"/>
        <v>792734</v>
      </c>
      <c r="AE64" s="317">
        <v>792734</v>
      </c>
      <c r="AF64" s="500"/>
      <c r="AG64" s="393">
        <v>900273</v>
      </c>
      <c r="AH64" s="8">
        <v>1005488</v>
      </c>
      <c r="AI64" s="8">
        <v>1026226</v>
      </c>
      <c r="AJ64" s="24">
        <f t="shared" si="173"/>
        <v>964603</v>
      </c>
      <c r="AK64" s="517">
        <v>964603</v>
      </c>
      <c r="AL64" s="540"/>
      <c r="AM64" s="5">
        <f>(AM23/90)*AM132</f>
        <v>944954.64116532775</v>
      </c>
      <c r="AN64" s="5">
        <f>(AN23/90)*AN132</f>
        <v>1096954.5452244424</v>
      </c>
      <c r="AO64" s="5">
        <f>(AO23/90)*AO132</f>
        <v>1093395.5074140842</v>
      </c>
      <c r="AP64" s="5">
        <f>(AP23/90)*AP132</f>
        <v>1001858.5091492704</v>
      </c>
      <c r="AQ64" s="307">
        <f t="shared" si="167"/>
        <v>1001858.5091492704</v>
      </c>
      <c r="AS64" s="377">
        <f>(AS23/90)*AS132</f>
        <v>1067416.5489270655</v>
      </c>
      <c r="AT64" s="5">
        <f>(AT23/90)*AT132</f>
        <v>1230885.4569145823</v>
      </c>
      <c r="AU64" s="5">
        <f>(AU23/90)*AU132</f>
        <v>1218667.1547916608</v>
      </c>
      <c r="AV64" s="5">
        <f>(AV23/90)*AV132</f>
        <v>1128263.3822185062</v>
      </c>
      <c r="AW64" s="307">
        <f t="shared" si="174"/>
        <v>1128263.3822185062</v>
      </c>
      <c r="AY64" s="377">
        <f>(AY23/90)*AY132</f>
        <v>1212465.383444618</v>
      </c>
      <c r="AZ64" s="5">
        <f>(AZ23/90)*AZ132</f>
        <v>1399667.4856815708</v>
      </c>
      <c r="BA64" s="5">
        <f>(BA23/90)*BA132</f>
        <v>1363003.1776877965</v>
      </c>
      <c r="BB64" s="5">
        <f>(BB23/90)*BB132</f>
        <v>1279921.5812303592</v>
      </c>
      <c r="BC64" s="307">
        <f t="shared" si="174"/>
        <v>1279921.5812303592</v>
      </c>
      <c r="BE64" s="377">
        <f>(BE23/90)*BE132</f>
        <v>1376854.1868462365</v>
      </c>
      <c r="BF64" s="5">
        <f>(BF23/90)*BF132</f>
        <v>1648476.0626643877</v>
      </c>
      <c r="BG64" s="5">
        <f>(BG23/90)*BG132</f>
        <v>1580324.9963695218</v>
      </c>
      <c r="BH64" s="5">
        <f>(BH23/90)*BH132</f>
        <v>1490219.5869898063</v>
      </c>
      <c r="BI64" s="307">
        <f t="shared" si="174"/>
        <v>1490219.5869898063</v>
      </c>
      <c r="BK64" s="377">
        <f>(BK23/90)*BK132</f>
        <v>1625658.3927690792</v>
      </c>
      <c r="BL64" s="5">
        <f>(BL23/90)*BL132</f>
        <v>1955443.3134107396</v>
      </c>
      <c r="BM64" s="5">
        <f>(BM23/90)*BM132</f>
        <v>1858664.915909495</v>
      </c>
      <c r="BN64" s="5">
        <f>(BN23/90)*BN132</f>
        <v>1666507.5335826206</v>
      </c>
      <c r="BO64" s="307">
        <f t="shared" si="174"/>
        <v>1666507.5335826206</v>
      </c>
    </row>
    <row r="65" spans="1:67">
      <c r="A65" s="467" t="s">
        <v>43</v>
      </c>
      <c r="C65" s="393">
        <v>28106</v>
      </c>
      <c r="D65" s="8">
        <v>46576</v>
      </c>
      <c r="E65" s="8">
        <v>40933</v>
      </c>
      <c r="F65" s="24">
        <f t="shared" si="168"/>
        <v>35922</v>
      </c>
      <c r="G65" s="317">
        <v>35922</v>
      </c>
      <c r="H65" s="500"/>
      <c r="I65" s="393">
        <v>63375</v>
      </c>
      <c r="J65" s="8">
        <v>62762</v>
      </c>
      <c r="K65" s="8">
        <v>63964</v>
      </c>
      <c r="L65" s="24">
        <f t="shared" si="169"/>
        <v>54794</v>
      </c>
      <c r="M65" s="317">
        <v>54794</v>
      </c>
      <c r="N65" s="500"/>
      <c r="O65" s="393">
        <v>42513</v>
      </c>
      <c r="P65" s="8">
        <v>52174</v>
      </c>
      <c r="Q65" s="8">
        <v>58842</v>
      </c>
      <c r="R65" s="24">
        <f t="shared" si="170"/>
        <v>56326</v>
      </c>
      <c r="S65" s="317">
        <v>56326</v>
      </c>
      <c r="T65" s="500"/>
      <c r="U65" s="393">
        <v>51215</v>
      </c>
      <c r="V65" s="8">
        <v>44761</v>
      </c>
      <c r="W65" s="8">
        <v>59438</v>
      </c>
      <c r="X65" s="24">
        <f t="shared" si="171"/>
        <v>55681</v>
      </c>
      <c r="Y65" s="317">
        <v>55681</v>
      </c>
      <c r="Z65" s="500"/>
      <c r="AA65" s="393">
        <v>55239</v>
      </c>
      <c r="AB65" s="8">
        <v>59446</v>
      </c>
      <c r="AC65" s="8">
        <v>69912</v>
      </c>
      <c r="AD65" s="24">
        <f t="shared" si="172"/>
        <v>94963</v>
      </c>
      <c r="AE65" s="317">
        <v>94963</v>
      </c>
      <c r="AF65" s="500"/>
      <c r="AG65" s="393">
        <v>123945</v>
      </c>
      <c r="AH65" s="8">
        <v>134173</v>
      </c>
      <c r="AI65" s="8">
        <v>134742</v>
      </c>
      <c r="AJ65" s="24">
        <f t="shared" si="173"/>
        <v>107010</v>
      </c>
      <c r="AK65" s="517">
        <v>107010</v>
      </c>
      <c r="AL65" s="540"/>
      <c r="AM65" s="8">
        <v>107010</v>
      </c>
      <c r="AN65" s="8">
        <v>107010</v>
      </c>
      <c r="AO65" s="8">
        <v>107010</v>
      </c>
      <c r="AP65" s="8">
        <v>107010</v>
      </c>
      <c r="AQ65" s="386">
        <f t="shared" si="167"/>
        <v>107010</v>
      </c>
      <c r="AR65" s="500"/>
      <c r="AS65" s="393">
        <v>107010</v>
      </c>
      <c r="AT65" s="8">
        <v>107010</v>
      </c>
      <c r="AU65" s="8">
        <v>107010</v>
      </c>
      <c r="AV65" s="8">
        <v>107010</v>
      </c>
      <c r="AW65" s="386">
        <f t="shared" si="174"/>
        <v>107010</v>
      </c>
      <c r="AX65" s="500"/>
      <c r="AY65" s="393">
        <v>107010</v>
      </c>
      <c r="AZ65" s="8">
        <v>107010</v>
      </c>
      <c r="BA65" s="8">
        <v>107010</v>
      </c>
      <c r="BB65" s="8">
        <v>107010</v>
      </c>
      <c r="BC65" s="386">
        <f t="shared" si="174"/>
        <v>107010</v>
      </c>
      <c r="BD65" s="500"/>
      <c r="BE65" s="393">
        <v>107010</v>
      </c>
      <c r="BF65" s="8">
        <v>107010</v>
      </c>
      <c r="BG65" s="8">
        <v>107010</v>
      </c>
      <c r="BH65" s="8">
        <v>107010</v>
      </c>
      <c r="BI65" s="386">
        <f t="shared" si="174"/>
        <v>107010</v>
      </c>
      <c r="BJ65" s="500"/>
      <c r="BK65" s="393">
        <v>107010</v>
      </c>
      <c r="BL65" s="8">
        <v>107010</v>
      </c>
      <c r="BM65" s="8">
        <v>107010</v>
      </c>
      <c r="BN65" s="8">
        <v>107010</v>
      </c>
      <c r="BO65" s="386">
        <f t="shared" si="174"/>
        <v>107010</v>
      </c>
    </row>
    <row r="66" spans="1:67">
      <c r="A66" s="467" t="s">
        <v>44</v>
      </c>
      <c r="C66" s="393">
        <v>19037</v>
      </c>
      <c r="D66" s="8">
        <v>21054</v>
      </c>
      <c r="E66" s="8">
        <v>20237</v>
      </c>
      <c r="F66" s="24">
        <f t="shared" si="168"/>
        <v>20445</v>
      </c>
      <c r="G66" s="317">
        <v>20445</v>
      </c>
      <c r="H66" s="500"/>
      <c r="I66" s="393">
        <v>20847</v>
      </c>
      <c r="J66" s="8">
        <v>20832</v>
      </c>
      <c r="K66" s="8">
        <v>19849</v>
      </c>
      <c r="L66" s="24">
        <f t="shared" si="169"/>
        <v>18770</v>
      </c>
      <c r="M66" s="317">
        <v>18770</v>
      </c>
      <c r="N66" s="500"/>
      <c r="O66" s="393">
        <v>20515</v>
      </c>
      <c r="P66" s="8">
        <v>22500</v>
      </c>
      <c r="Q66" s="8">
        <v>21939</v>
      </c>
      <c r="R66" s="24">
        <f t="shared" si="170"/>
        <v>21746</v>
      </c>
      <c r="S66" s="317">
        <v>21746</v>
      </c>
      <c r="T66" s="500"/>
      <c r="U66" s="393">
        <v>21270</v>
      </c>
      <c r="V66" s="8">
        <v>18715</v>
      </c>
      <c r="W66" s="8">
        <v>20212</v>
      </c>
      <c r="X66" s="24">
        <f t="shared" si="171"/>
        <v>0</v>
      </c>
      <c r="Y66" s="317">
        <v>0</v>
      </c>
      <c r="Z66" s="500"/>
      <c r="AA66" s="393">
        <v>0</v>
      </c>
      <c r="AB66" s="8">
        <v>0</v>
      </c>
      <c r="AC66" s="24"/>
      <c r="AD66" s="24">
        <f t="shared" si="172"/>
        <v>0</v>
      </c>
      <c r="AE66" s="386"/>
      <c r="AF66" s="500"/>
      <c r="AG66" s="501"/>
      <c r="AH66" s="8">
        <v>0</v>
      </c>
      <c r="AI66" s="8">
        <v>0</v>
      </c>
      <c r="AJ66" s="24">
        <f t="shared" si="173"/>
        <v>0</v>
      </c>
      <c r="AK66" s="517">
        <v>0</v>
      </c>
      <c r="AL66" s="540"/>
      <c r="AM66" s="12">
        <v>0</v>
      </c>
      <c r="AN66" s="12">
        <v>0</v>
      </c>
      <c r="AO66" s="12">
        <v>0</v>
      </c>
      <c r="AP66" s="12">
        <v>0</v>
      </c>
      <c r="AQ66" s="307">
        <f t="shared" si="167"/>
        <v>0</v>
      </c>
      <c r="AS66" s="375">
        <v>0</v>
      </c>
      <c r="AT66" s="12">
        <v>0</v>
      </c>
      <c r="AU66" s="12">
        <v>0</v>
      </c>
      <c r="AV66" s="12">
        <v>0</v>
      </c>
      <c r="AW66" s="307">
        <f t="shared" si="174"/>
        <v>0</v>
      </c>
      <c r="AY66" s="375">
        <v>0</v>
      </c>
      <c r="AZ66" s="12">
        <v>0</v>
      </c>
      <c r="BA66" s="12">
        <v>0</v>
      </c>
      <c r="BB66" s="12">
        <v>0</v>
      </c>
      <c r="BC66" s="307">
        <f t="shared" si="174"/>
        <v>0</v>
      </c>
      <c r="BE66" s="375">
        <v>0</v>
      </c>
      <c r="BF66" s="12">
        <v>0</v>
      </c>
      <c r="BG66" s="12">
        <v>0</v>
      </c>
      <c r="BH66" s="12">
        <v>0</v>
      </c>
      <c r="BI66" s="307">
        <f t="shared" si="174"/>
        <v>0</v>
      </c>
      <c r="BK66" s="375">
        <v>0</v>
      </c>
      <c r="BL66" s="12">
        <v>0</v>
      </c>
      <c r="BM66" s="12">
        <v>0</v>
      </c>
      <c r="BN66" s="12">
        <v>0</v>
      </c>
      <c r="BO66" s="307">
        <f t="shared" si="174"/>
        <v>0</v>
      </c>
    </row>
    <row r="67" spans="1:67">
      <c r="A67" s="467" t="s">
        <v>45</v>
      </c>
      <c r="C67" s="393">
        <v>182038</v>
      </c>
      <c r="D67" s="8">
        <v>172540</v>
      </c>
      <c r="E67" s="8">
        <v>173097</v>
      </c>
      <c r="F67" s="24">
        <f t="shared" si="168"/>
        <v>176012</v>
      </c>
      <c r="G67" s="317">
        <v>176012</v>
      </c>
      <c r="H67" s="500"/>
      <c r="I67" s="393">
        <v>181438</v>
      </c>
      <c r="J67" s="8">
        <v>193544</v>
      </c>
      <c r="K67" s="8">
        <v>196045</v>
      </c>
      <c r="L67" s="24">
        <f t="shared" si="169"/>
        <v>199479</v>
      </c>
      <c r="M67" s="317">
        <v>199479</v>
      </c>
      <c r="N67" s="500"/>
      <c r="O67" s="393">
        <v>200814</v>
      </c>
      <c r="P67" s="8">
        <v>203331</v>
      </c>
      <c r="Q67" s="8">
        <v>210827</v>
      </c>
      <c r="R67" s="24">
        <f t="shared" si="170"/>
        <v>214744</v>
      </c>
      <c r="S67" s="317">
        <v>214744</v>
      </c>
      <c r="T67" s="500"/>
      <c r="U67" s="393">
        <v>216532</v>
      </c>
      <c r="V67" s="8">
        <v>219808</v>
      </c>
      <c r="W67" s="8">
        <v>220884</v>
      </c>
      <c r="X67" s="24">
        <f t="shared" si="171"/>
        <v>220498</v>
      </c>
      <c r="Y67" s="317">
        <v>220498</v>
      </c>
      <c r="Z67" s="500"/>
      <c r="AA67" s="393">
        <v>219499</v>
      </c>
      <c r="AB67" s="8">
        <v>215725</v>
      </c>
      <c r="AC67" s="8">
        <v>228682</v>
      </c>
      <c r="AD67" s="24">
        <f t="shared" si="172"/>
        <v>250692</v>
      </c>
      <c r="AE67" s="317">
        <v>250692</v>
      </c>
      <c r="AF67" s="500"/>
      <c r="AG67" s="393">
        <v>264733</v>
      </c>
      <c r="AH67" s="8">
        <v>275696</v>
      </c>
      <c r="AI67" s="8">
        <v>294220</v>
      </c>
      <c r="AJ67" s="24">
        <f t="shared" si="173"/>
        <v>324994</v>
      </c>
      <c r="AK67" s="517">
        <v>324994</v>
      </c>
      <c r="AL67" s="540"/>
      <c r="AM67" s="5">
        <f>(AM24/90)*AM133</f>
        <v>307160.27281750069</v>
      </c>
      <c r="AN67" s="5">
        <f>(AN24/90)*AN133</f>
        <v>371745.76791017031</v>
      </c>
      <c r="AO67" s="5">
        <f>(AO24/90)*AO133</f>
        <v>366909.74948234705</v>
      </c>
      <c r="AP67" s="5">
        <f>(AP24/90)*AP133</f>
        <v>333270.18567129853</v>
      </c>
      <c r="AQ67" s="307">
        <f t="shared" si="167"/>
        <v>333270.18567129853</v>
      </c>
      <c r="AS67" s="377">
        <f>(AS24/90)*AS133</f>
        <v>340447.39358379721</v>
      </c>
      <c r="AT67" s="5">
        <f>(AT24/90)*AT133</f>
        <v>416531.21383931505</v>
      </c>
      <c r="AU67" s="5">
        <f>(AU24/90)*AU133</f>
        <v>409678.39431098546</v>
      </c>
      <c r="AV67" s="5">
        <f>(AV24/90)*AV133</f>
        <v>376397.43631650187</v>
      </c>
      <c r="AW67" s="307">
        <f t="shared" si="174"/>
        <v>376397.43631650187</v>
      </c>
      <c r="AY67" s="377">
        <f>(AY24/90)*AY133</f>
        <v>387853.69804494712</v>
      </c>
      <c r="AZ67" s="5">
        <f>(AZ24/90)*AZ133</f>
        <v>474495.05624286365</v>
      </c>
      <c r="BA67" s="5">
        <f>(BA24/90)*BA133</f>
        <v>460060.92775263742</v>
      </c>
      <c r="BB67" s="5">
        <f>(BB24/90)*BB133</f>
        <v>428080.15390150715</v>
      </c>
      <c r="BC67" s="307">
        <f t="shared" si="174"/>
        <v>428080.15390150715</v>
      </c>
      <c r="BE67" s="377">
        <f>(BE24/90)*BE133</f>
        <v>441877.28850105265</v>
      </c>
      <c r="BF67" s="5">
        <f>(BF24/90)*BF133</f>
        <v>561515.76244887616</v>
      </c>
      <c r="BG67" s="5">
        <f>(BG24/90)*BG133</f>
        <v>534068.06042298302</v>
      </c>
      <c r="BH67" s="5">
        <f>(BH24/90)*BH133</f>
        <v>500438.59008110012</v>
      </c>
      <c r="BI67" s="307">
        <f t="shared" si="174"/>
        <v>500438.59008110012</v>
      </c>
      <c r="BK67" s="377">
        <f>(BK24/90)*BK133</f>
        <v>521231.9931798937</v>
      </c>
      <c r="BL67" s="5">
        <f>(BL24/90)*BL133</f>
        <v>644033.68053897517</v>
      </c>
      <c r="BM67" s="5">
        <f>(BM24/90)*BM133</f>
        <v>611784.85130191874</v>
      </c>
      <c r="BN67" s="5">
        <f>(BN24/90)*BN133</f>
        <v>551652.931589021</v>
      </c>
      <c r="BO67" s="307">
        <f t="shared" si="174"/>
        <v>551652.931589021</v>
      </c>
    </row>
    <row r="68" spans="1:67">
      <c r="A68" s="467" t="s">
        <v>46</v>
      </c>
      <c r="C68" s="393">
        <v>55180</v>
      </c>
      <c r="D68" s="8">
        <v>35823</v>
      </c>
      <c r="E68" s="8">
        <v>32637</v>
      </c>
      <c r="F68" s="24">
        <f t="shared" si="168"/>
        <v>35175</v>
      </c>
      <c r="G68" s="317">
        <v>35175</v>
      </c>
      <c r="H68" s="500"/>
      <c r="I68" s="393">
        <v>38177</v>
      </c>
      <c r="J68" s="8">
        <v>34834</v>
      </c>
      <c r="K68" s="8">
        <v>35441</v>
      </c>
      <c r="L68" s="24">
        <f t="shared" si="169"/>
        <v>42800</v>
      </c>
      <c r="M68" s="317">
        <v>42800</v>
      </c>
      <c r="N68" s="500"/>
      <c r="O68" s="393">
        <v>45925</v>
      </c>
      <c r="P68" s="8">
        <v>42640</v>
      </c>
      <c r="Q68" s="8">
        <v>38199</v>
      </c>
      <c r="R68" s="24">
        <f t="shared" si="170"/>
        <v>48942</v>
      </c>
      <c r="S68" s="317">
        <v>48942</v>
      </c>
      <c r="T68" s="500"/>
      <c r="U68" s="393">
        <v>44629</v>
      </c>
      <c r="V68" s="8">
        <v>69455</v>
      </c>
      <c r="W68" s="8">
        <v>58711</v>
      </c>
      <c r="X68" s="24">
        <f t="shared" si="171"/>
        <v>67051</v>
      </c>
      <c r="Y68" s="317">
        <v>67051</v>
      </c>
      <c r="Z68" s="500"/>
      <c r="AA68" s="393">
        <v>76726</v>
      </c>
      <c r="AB68" s="8">
        <v>76524</v>
      </c>
      <c r="AC68" s="8">
        <v>70864</v>
      </c>
      <c r="AD68" s="24">
        <f t="shared" si="172"/>
        <v>68483</v>
      </c>
      <c r="AE68" s="317">
        <v>68483</v>
      </c>
      <c r="AF68" s="500"/>
      <c r="AG68" s="393">
        <v>103349</v>
      </c>
      <c r="AH68" s="8">
        <v>93320</v>
      </c>
      <c r="AI68" s="8">
        <v>71846</v>
      </c>
      <c r="AJ68" s="24">
        <f t="shared" si="173"/>
        <v>82518</v>
      </c>
      <c r="AK68" s="517">
        <v>82518</v>
      </c>
      <c r="AL68" s="540"/>
      <c r="AM68" s="5">
        <f>AM23*AM137</f>
        <v>88824.455388573435</v>
      </c>
      <c r="AN68" s="5">
        <f>AN23*AN137</f>
        <v>97260.622294273722</v>
      </c>
      <c r="AO68" s="5">
        <f>AO23*AO137</f>
        <v>81972.086554522713</v>
      </c>
      <c r="AP68" s="5">
        <f>AP23*AP137</f>
        <v>82933.52768774172</v>
      </c>
      <c r="AQ68" s="307">
        <f t="shared" si="167"/>
        <v>82933.52768774172</v>
      </c>
      <c r="AS68" s="377">
        <f>AS23*AS137</f>
        <v>96933.67483265372</v>
      </c>
      <c r="AT68" s="5">
        <f>AT23*AT137</f>
        <v>112696.7806344355</v>
      </c>
      <c r="AU68" s="5">
        <f>AU23*AU137</f>
        <v>93986.661142177196</v>
      </c>
      <c r="AV68" s="5">
        <f>AV23*AV137</f>
        <v>96344.676505975425</v>
      </c>
      <c r="AW68" s="307">
        <f t="shared" si="174"/>
        <v>96344.676505975425</v>
      </c>
      <c r="AY68" s="377">
        <f>AY23*AY137</f>
        <v>114295.34866260736</v>
      </c>
      <c r="AZ68" s="5">
        <f>AZ23*AZ137</f>
        <v>135275.74737101371</v>
      </c>
      <c r="BA68" s="5">
        <f>BA23*BA137</f>
        <v>109286.86641282696</v>
      </c>
      <c r="BB68" s="5">
        <f>BB23*BB137</f>
        <v>112329.88070049122</v>
      </c>
      <c r="BC68" s="307">
        <f t="shared" si="174"/>
        <v>112329.88070049122</v>
      </c>
      <c r="BE68" s="377">
        <f>BE23*BE137</f>
        <v>134367.07221461096</v>
      </c>
      <c r="BF68" s="5">
        <f>BF23*BF137</f>
        <v>167200.19318225543</v>
      </c>
      <c r="BG68" s="5">
        <f>BG23*BG137</f>
        <v>131950.78549954575</v>
      </c>
      <c r="BH68" s="5">
        <f>BH23*BH137</f>
        <v>133733.5810178238</v>
      </c>
      <c r="BI68" s="307">
        <f t="shared" si="174"/>
        <v>133733.5810178238</v>
      </c>
      <c r="BK68" s="377">
        <f>BK23*BK137</f>
        <v>166751.11448273191</v>
      </c>
      <c r="BL68" s="5">
        <f>BL23*BL137</f>
        <v>191200.41902485798</v>
      </c>
      <c r="BM68" s="5">
        <f>BM23*BM137</f>
        <v>150674.77901858915</v>
      </c>
      <c r="BN68" s="5">
        <f>BN23*BN137</f>
        <v>143773.85534128189</v>
      </c>
      <c r="BO68" s="307">
        <f t="shared" si="174"/>
        <v>143773.85534128189</v>
      </c>
    </row>
    <row r="69" spans="1:67" ht="15">
      <c r="A69" s="456" t="s">
        <v>47</v>
      </c>
      <c r="C69" s="347">
        <f t="shared" ref="C69:AP69" si="175">SUM(C62:C68)</f>
        <v>1061771</v>
      </c>
      <c r="D69" s="9">
        <f t="shared" si="175"/>
        <v>1234734</v>
      </c>
      <c r="E69" s="9">
        <f t="shared" si="175"/>
        <v>1160258</v>
      </c>
      <c r="F69" s="9">
        <f t="shared" si="175"/>
        <v>1154056</v>
      </c>
      <c r="G69" s="296">
        <f t="shared" si="175"/>
        <v>1154056</v>
      </c>
      <c r="H69" s="500"/>
      <c r="I69" s="347">
        <f t="shared" si="175"/>
        <v>1079822</v>
      </c>
      <c r="J69" s="9">
        <f t="shared" si="175"/>
        <v>1136482</v>
      </c>
      <c r="K69" s="9">
        <f t="shared" si="175"/>
        <v>1176821</v>
      </c>
      <c r="L69" s="9">
        <f t="shared" si="175"/>
        <v>1202158</v>
      </c>
      <c r="M69" s="296">
        <f t="shared" si="175"/>
        <v>1202158</v>
      </c>
      <c r="N69" s="500"/>
      <c r="O69" s="347">
        <f t="shared" si="175"/>
        <v>1148122</v>
      </c>
      <c r="P69" s="9">
        <f t="shared" si="175"/>
        <v>1213186</v>
      </c>
      <c r="Q69" s="9">
        <f t="shared" si="175"/>
        <v>1300584</v>
      </c>
      <c r="R69" s="9">
        <f t="shared" si="175"/>
        <v>1400908</v>
      </c>
      <c r="S69" s="296">
        <f t="shared" si="175"/>
        <v>1400908</v>
      </c>
      <c r="T69" s="500"/>
      <c r="U69" s="347">
        <f t="shared" si="175"/>
        <v>1486476</v>
      </c>
      <c r="V69" s="9">
        <f t="shared" si="175"/>
        <v>1431804</v>
      </c>
      <c r="W69" s="9">
        <f t="shared" si="175"/>
        <v>1493659</v>
      </c>
      <c r="X69" s="9">
        <f t="shared" si="175"/>
        <v>1525722</v>
      </c>
      <c r="Y69" s="296">
        <f t="shared" si="175"/>
        <v>1525722</v>
      </c>
      <c r="Z69" s="500"/>
      <c r="AA69" s="347">
        <f t="shared" si="175"/>
        <v>1542351</v>
      </c>
      <c r="AB69" s="9">
        <f t="shared" si="175"/>
        <v>1677316</v>
      </c>
      <c r="AC69" s="9">
        <f t="shared" si="175"/>
        <v>1784164</v>
      </c>
      <c r="AD69" s="9">
        <f t="shared" si="175"/>
        <v>1741171</v>
      </c>
      <c r="AE69" s="296">
        <f t="shared" si="175"/>
        <v>1741171</v>
      </c>
      <c r="AF69" s="500"/>
      <c r="AG69" s="347">
        <f t="shared" si="175"/>
        <v>1807248</v>
      </c>
      <c r="AH69" s="9">
        <f t="shared" si="175"/>
        <v>1924105</v>
      </c>
      <c r="AI69" s="9">
        <f t="shared" si="175"/>
        <v>2041091</v>
      </c>
      <c r="AJ69" s="9">
        <f t="shared" si="175"/>
        <v>2033761</v>
      </c>
      <c r="AK69" s="506">
        <f t="shared" si="175"/>
        <v>2033761</v>
      </c>
      <c r="AL69" s="540"/>
      <c r="AM69" s="9">
        <f t="shared" si="175"/>
        <v>2039247.0233385095</v>
      </c>
      <c r="AN69" s="9">
        <f t="shared" si="175"/>
        <v>2209539.6378272027</v>
      </c>
      <c r="AO69" s="9">
        <f t="shared" si="175"/>
        <v>2281463.4689807338</v>
      </c>
      <c r="AP69" s="9">
        <f t="shared" si="175"/>
        <v>2310810.0987687414</v>
      </c>
      <c r="AQ69" s="367">
        <f t="shared" si="167"/>
        <v>2310810.0987687414</v>
      </c>
      <c r="AS69" s="347">
        <f>SUM(AS62:AS68)</f>
        <v>2360677.6245269473</v>
      </c>
      <c r="AT69" s="9">
        <f>SUM(AT62:AT68)</f>
        <v>2562458.7187967259</v>
      </c>
      <c r="AU69" s="9">
        <f>SUM(AU62:AU68)</f>
        <v>2692387.4421911282</v>
      </c>
      <c r="AV69" s="9">
        <f>SUM(AV62:AV68)</f>
        <v>2750136.3785188361</v>
      </c>
      <c r="AW69" s="367">
        <f t="shared" si="174"/>
        <v>2750136.3785188361</v>
      </c>
      <c r="AY69" s="347">
        <f t="shared" ref="AY69:BN69" si="176">SUM(AY62:AY68)</f>
        <v>2814233.9125287384</v>
      </c>
      <c r="AZ69" s="9">
        <f t="shared" si="176"/>
        <v>3029804.9612508318</v>
      </c>
      <c r="BA69" s="9">
        <f t="shared" si="176"/>
        <v>3161969.667496318</v>
      </c>
      <c r="BB69" s="9">
        <f t="shared" si="176"/>
        <v>3246674.1128237341</v>
      </c>
      <c r="BC69" s="367">
        <f t="shared" si="174"/>
        <v>3246674.1128237341</v>
      </c>
      <c r="BE69" s="347">
        <f t="shared" si="176"/>
        <v>3333475.4677931629</v>
      </c>
      <c r="BF69" s="9">
        <f t="shared" si="176"/>
        <v>3621230.1957635847</v>
      </c>
      <c r="BG69" s="9">
        <f t="shared" si="176"/>
        <v>3774005.0219024578</v>
      </c>
      <c r="BH69" s="9">
        <f t="shared" si="176"/>
        <v>3885618.1780126411</v>
      </c>
      <c r="BI69" s="367">
        <f t="shared" si="174"/>
        <v>3885618.1780126411</v>
      </c>
      <c r="BK69" s="347">
        <f t="shared" si="176"/>
        <v>4013131.274753761</v>
      </c>
      <c r="BL69" s="9">
        <f t="shared" si="176"/>
        <v>4373393.2030969979</v>
      </c>
      <c r="BM69" s="9">
        <f t="shared" si="176"/>
        <v>4536093.0060375342</v>
      </c>
      <c r="BN69" s="9">
        <f t="shared" si="176"/>
        <v>4627644.9665852813</v>
      </c>
      <c r="BO69" s="367">
        <f t="shared" si="174"/>
        <v>4627644.9665852813</v>
      </c>
    </row>
    <row r="70" spans="1:67">
      <c r="A70" s="467" t="s">
        <v>48</v>
      </c>
      <c r="C70" s="393">
        <v>1609490</v>
      </c>
      <c r="D70" s="8">
        <v>1602453</v>
      </c>
      <c r="E70" s="8">
        <v>1611971</v>
      </c>
      <c r="F70" s="24">
        <f t="shared" si="168"/>
        <v>1587365</v>
      </c>
      <c r="G70" s="317">
        <v>1587365</v>
      </c>
      <c r="H70" s="500"/>
      <c r="I70" s="393">
        <v>1631648</v>
      </c>
      <c r="J70" s="8">
        <v>1609382</v>
      </c>
      <c r="K70" s="8">
        <v>1614429</v>
      </c>
      <c r="L70" s="24">
        <f t="shared" si="169"/>
        <v>1561978</v>
      </c>
      <c r="M70" s="317">
        <v>1561978</v>
      </c>
      <c r="N70" s="500"/>
      <c r="O70" s="393">
        <v>1588613</v>
      </c>
      <c r="P70" s="8">
        <v>1596917</v>
      </c>
      <c r="Q70" s="8">
        <v>1593993</v>
      </c>
      <c r="R70" s="24">
        <f t="shared" si="170"/>
        <v>1588151</v>
      </c>
      <c r="S70" s="317">
        <v>1588151</v>
      </c>
      <c r="T70" s="500"/>
      <c r="U70" s="393">
        <v>1547119</v>
      </c>
      <c r="V70" s="8">
        <v>1553808</v>
      </c>
      <c r="W70" s="8">
        <v>1539333</v>
      </c>
      <c r="X70" s="24">
        <f t="shared" si="171"/>
        <v>1525298</v>
      </c>
      <c r="Y70" s="317">
        <v>1525298</v>
      </c>
      <c r="Z70" s="500"/>
      <c r="AA70" s="393">
        <v>1527944</v>
      </c>
      <c r="AB70" s="8">
        <v>1531289</v>
      </c>
      <c r="AC70" s="8">
        <v>1508356</v>
      </c>
      <c r="AD70" s="24">
        <f t="shared" si="172"/>
        <v>1863175</v>
      </c>
      <c r="AE70" s="317">
        <v>1863175</v>
      </c>
      <c r="AF70" s="500"/>
      <c r="AG70" s="393">
        <v>1881542</v>
      </c>
      <c r="AH70" s="8">
        <v>1913145</v>
      </c>
      <c r="AI70" s="8">
        <v>1923675</v>
      </c>
      <c r="AJ70" s="24">
        <f t="shared" si="173"/>
        <v>1980302</v>
      </c>
      <c r="AK70" s="517">
        <v>1980302</v>
      </c>
      <c r="AL70" s="540"/>
      <c r="AM70" s="5">
        <f>AM146</f>
        <v>1954105.9741197156</v>
      </c>
      <c r="AN70" s="5">
        <f>AN146</f>
        <v>1931759.4947622726</v>
      </c>
      <c r="AO70" s="5">
        <f>AO146</f>
        <v>1909715.1991226922</v>
      </c>
      <c r="AP70" s="5">
        <f>AP146</f>
        <v>1884913.7161752563</v>
      </c>
      <c r="AQ70" s="307">
        <f t="shared" si="167"/>
        <v>1884913.7161752563</v>
      </c>
      <c r="AS70" s="377">
        <f>AS146</f>
        <v>1849954.2789323756</v>
      </c>
      <c r="AT70" s="5">
        <f>AT146</f>
        <v>1808093.0201199765</v>
      </c>
      <c r="AU70" s="5">
        <f>AU146</f>
        <v>1766929.4974303781</v>
      </c>
      <c r="AV70" s="5">
        <f>AV146</f>
        <v>1728547.8616576737</v>
      </c>
      <c r="AW70" s="307">
        <f t="shared" si="174"/>
        <v>1728547.8616576737</v>
      </c>
      <c r="AY70" s="377">
        <f>AY146</f>
        <v>1678385.5594897454</v>
      </c>
      <c r="AZ70" s="5">
        <f>AZ146</f>
        <v>1627818.3892431757</v>
      </c>
      <c r="BA70" s="5">
        <f>BA146</f>
        <v>1581853.1500198399</v>
      </c>
      <c r="BB70" s="5">
        <f>BB146</f>
        <v>1538593.9286093262</v>
      </c>
      <c r="BC70" s="307">
        <f t="shared" si="174"/>
        <v>1538593.9286093262</v>
      </c>
      <c r="BE70" s="377">
        <f>BE146</f>
        <v>1485830.2629759454</v>
      </c>
      <c r="BF70" s="5">
        <f>BF146</f>
        <v>1426449.3757665635</v>
      </c>
      <c r="BG70" s="5">
        <f>BG146</f>
        <v>1373435.4017955675</v>
      </c>
      <c r="BH70" s="5">
        <f>BH146</f>
        <v>1323060.3434860557</v>
      </c>
      <c r="BI70" s="307">
        <f t="shared" si="174"/>
        <v>1323060.3434860557</v>
      </c>
      <c r="BK70" s="377">
        <f>BK146</f>
        <v>1247233.5868623275</v>
      </c>
      <c r="BL70" s="5">
        <f>BL146</f>
        <v>1166266.2171541927</v>
      </c>
      <c r="BM70" s="5">
        <f>BM146</f>
        <v>1093359.2143330844</v>
      </c>
      <c r="BN70" s="5">
        <f>BN146</f>
        <v>1025237.3187570082</v>
      </c>
      <c r="BO70" s="307">
        <f t="shared" si="174"/>
        <v>1025237.3187570082</v>
      </c>
    </row>
    <row r="71" spans="1:67">
      <c r="A71" s="466" t="s">
        <v>49</v>
      </c>
      <c r="C71" s="501"/>
      <c r="D71" s="24"/>
      <c r="E71" s="24"/>
      <c r="F71" s="24"/>
      <c r="G71" s="386"/>
      <c r="H71" s="500"/>
      <c r="I71" s="501"/>
      <c r="J71" s="24"/>
      <c r="K71" s="24"/>
      <c r="L71" s="24"/>
      <c r="M71" s="386"/>
      <c r="N71" s="500"/>
      <c r="O71" s="501"/>
      <c r="P71" s="24"/>
      <c r="Q71" s="24"/>
      <c r="R71" s="24"/>
      <c r="S71" s="386"/>
      <c r="T71" s="500"/>
      <c r="U71" s="501"/>
      <c r="V71" s="24"/>
      <c r="W71" s="24"/>
      <c r="X71" s="24"/>
      <c r="Y71" s="386"/>
      <c r="Z71" s="500"/>
      <c r="AA71" s="501"/>
      <c r="AB71" s="24"/>
      <c r="AC71" s="24"/>
      <c r="AD71" s="24"/>
      <c r="AE71" s="386"/>
      <c r="AF71" s="500"/>
      <c r="AG71" s="501"/>
      <c r="AH71" s="16" t="s">
        <v>36</v>
      </c>
      <c r="AI71" s="16" t="s">
        <v>36</v>
      </c>
      <c r="AJ71" s="24" t="str">
        <f t="shared" si="173"/>
        <v> </v>
      </c>
      <c r="AK71" s="524" t="s">
        <v>36</v>
      </c>
      <c r="AL71" s="540"/>
      <c r="AM71" s="5"/>
      <c r="AN71" s="5"/>
      <c r="AO71" s="5"/>
      <c r="AP71" s="5"/>
      <c r="AQ71" s="307">
        <f t="shared" si="167"/>
        <v>0</v>
      </c>
      <c r="AS71" s="377"/>
      <c r="AT71" s="5"/>
      <c r="AU71" s="5"/>
      <c r="AV71" s="5"/>
      <c r="AW71" s="307">
        <f t="shared" si="174"/>
        <v>0</v>
      </c>
      <c r="AY71" s="377"/>
      <c r="AZ71" s="5"/>
      <c r="BA71" s="5"/>
      <c r="BB71" s="5"/>
      <c r="BC71" s="307">
        <f t="shared" si="174"/>
        <v>0</v>
      </c>
      <c r="BE71" s="377"/>
      <c r="BF71" s="5"/>
      <c r="BG71" s="5"/>
      <c r="BH71" s="5"/>
      <c r="BI71" s="307">
        <f t="shared" si="174"/>
        <v>0</v>
      </c>
      <c r="BK71" s="377"/>
      <c r="BL71" s="5"/>
      <c r="BM71" s="5"/>
      <c r="BN71" s="5"/>
      <c r="BO71" s="307">
        <f t="shared" si="174"/>
        <v>0</v>
      </c>
    </row>
    <row r="72" spans="1:67">
      <c r="A72" s="467" t="s">
        <v>122</v>
      </c>
      <c r="C72" s="501">
        <v>0</v>
      </c>
      <c r="D72" s="24">
        <v>0</v>
      </c>
      <c r="E72" s="24">
        <v>0</v>
      </c>
      <c r="F72" s="24">
        <v>0</v>
      </c>
      <c r="G72" s="386">
        <v>0</v>
      </c>
      <c r="H72" s="500"/>
      <c r="I72" s="501">
        <v>0</v>
      </c>
      <c r="J72" s="24">
        <v>0</v>
      </c>
      <c r="K72" s="24">
        <v>0</v>
      </c>
      <c r="L72" s="24">
        <v>0</v>
      </c>
      <c r="M72" s="386">
        <v>0</v>
      </c>
      <c r="N72" s="500"/>
      <c r="O72" s="393">
        <v>170550</v>
      </c>
      <c r="P72" s="8">
        <v>173504</v>
      </c>
      <c r="Q72" s="8">
        <v>164302</v>
      </c>
      <c r="R72" s="24">
        <f t="shared" si="170"/>
        <v>162206</v>
      </c>
      <c r="S72" s="317">
        <v>162206</v>
      </c>
      <c r="T72" s="500"/>
      <c r="U72" s="393">
        <v>160526</v>
      </c>
      <c r="V72" s="8">
        <v>153522</v>
      </c>
      <c r="W72" s="8">
        <v>146454</v>
      </c>
      <c r="X72" s="24">
        <f t="shared" si="171"/>
        <v>150341</v>
      </c>
      <c r="Y72" s="317">
        <v>150341</v>
      </c>
      <c r="Z72" s="500"/>
      <c r="AA72" s="393">
        <v>142006</v>
      </c>
      <c r="AB72" s="8">
        <v>135363</v>
      </c>
      <c r="AC72" s="8">
        <v>137429</v>
      </c>
      <c r="AD72" s="24">
        <f t="shared" si="172"/>
        <v>161797</v>
      </c>
      <c r="AE72" s="317">
        <v>161797</v>
      </c>
      <c r="AF72" s="500"/>
      <c r="AG72" s="393">
        <v>156811</v>
      </c>
      <c r="AH72" s="8">
        <v>157048</v>
      </c>
      <c r="AI72" s="8">
        <v>161668</v>
      </c>
      <c r="AJ72" s="24">
        <f t="shared" si="173"/>
        <v>166181</v>
      </c>
      <c r="AK72" s="517">
        <v>166181</v>
      </c>
      <c r="AL72" s="540"/>
      <c r="AM72" s="5">
        <f>AK72</f>
        <v>166181</v>
      </c>
      <c r="AN72" s="5">
        <f t="shared" ref="AN72:BN76" si="177">AM72</f>
        <v>166181</v>
      </c>
      <c r="AO72" s="5">
        <f t="shared" si="177"/>
        <v>166181</v>
      </c>
      <c r="AP72" s="5">
        <f t="shared" si="177"/>
        <v>166181</v>
      </c>
      <c r="AQ72" s="307">
        <f t="shared" si="167"/>
        <v>166181</v>
      </c>
      <c r="AS72" s="377">
        <f>AQ72</f>
        <v>166181</v>
      </c>
      <c r="AT72" s="5">
        <f t="shared" si="177"/>
        <v>166181</v>
      </c>
      <c r="AU72" s="5">
        <f t="shared" si="177"/>
        <v>166181</v>
      </c>
      <c r="AV72" s="5">
        <f t="shared" si="177"/>
        <v>166181</v>
      </c>
      <c r="AW72" s="307">
        <f t="shared" si="174"/>
        <v>166181</v>
      </c>
      <c r="AY72" s="377">
        <f>AW72</f>
        <v>166181</v>
      </c>
      <c r="AZ72" s="5">
        <f t="shared" si="177"/>
        <v>166181</v>
      </c>
      <c r="BA72" s="5">
        <f t="shared" si="177"/>
        <v>166181</v>
      </c>
      <c r="BB72" s="5">
        <f t="shared" si="177"/>
        <v>166181</v>
      </c>
      <c r="BC72" s="307">
        <f t="shared" si="174"/>
        <v>166181</v>
      </c>
      <c r="BE72" s="377">
        <f>BC72</f>
        <v>166181</v>
      </c>
      <c r="BF72" s="5">
        <f t="shared" si="177"/>
        <v>166181</v>
      </c>
      <c r="BG72" s="5">
        <f t="shared" si="177"/>
        <v>166181</v>
      </c>
      <c r="BH72" s="5">
        <f t="shared" si="177"/>
        <v>166181</v>
      </c>
      <c r="BI72" s="307">
        <f t="shared" si="174"/>
        <v>166181</v>
      </c>
      <c r="BK72" s="377">
        <f>BI72</f>
        <v>166181</v>
      </c>
      <c r="BL72" s="5">
        <f t="shared" si="177"/>
        <v>166181</v>
      </c>
      <c r="BM72" s="5">
        <f t="shared" si="177"/>
        <v>166181</v>
      </c>
      <c r="BN72" s="5">
        <f t="shared" si="177"/>
        <v>166181</v>
      </c>
      <c r="BO72" s="307">
        <f t="shared" si="174"/>
        <v>166181</v>
      </c>
    </row>
    <row r="73" spans="1:67">
      <c r="A73" s="467" t="s">
        <v>50</v>
      </c>
      <c r="C73" s="393">
        <v>469860</v>
      </c>
      <c r="D73" s="8">
        <v>472819</v>
      </c>
      <c r="E73" s="8">
        <v>478728</v>
      </c>
      <c r="F73" s="24">
        <f>G73</f>
        <v>478523</v>
      </c>
      <c r="G73" s="317">
        <v>478523</v>
      </c>
      <c r="H73" s="500"/>
      <c r="I73" s="393">
        <v>492705</v>
      </c>
      <c r="J73" s="8">
        <v>497251</v>
      </c>
      <c r="K73" s="8">
        <v>514102</v>
      </c>
      <c r="L73" s="24">
        <f>M73</f>
        <v>514189</v>
      </c>
      <c r="M73" s="317">
        <v>514189</v>
      </c>
      <c r="N73" s="500"/>
      <c r="O73" s="393">
        <v>517910</v>
      </c>
      <c r="P73" s="8">
        <v>525044</v>
      </c>
      <c r="Q73" s="8">
        <v>524581</v>
      </c>
      <c r="R73" s="24">
        <f t="shared" si="170"/>
        <v>525013</v>
      </c>
      <c r="S73" s="317">
        <v>525013</v>
      </c>
      <c r="T73" s="500"/>
      <c r="U73" s="393">
        <v>519627</v>
      </c>
      <c r="V73" s="8">
        <v>523154</v>
      </c>
      <c r="W73" s="8">
        <v>524261</v>
      </c>
      <c r="X73" s="24">
        <f t="shared" si="171"/>
        <v>527023</v>
      </c>
      <c r="Y73" s="317">
        <v>527023</v>
      </c>
      <c r="Z73" s="500"/>
      <c r="AA73" s="393">
        <v>543605</v>
      </c>
      <c r="AB73" s="8">
        <v>544639</v>
      </c>
      <c r="AC73" s="8">
        <v>543028</v>
      </c>
      <c r="AD73" s="24">
        <f t="shared" si="172"/>
        <v>1227042</v>
      </c>
      <c r="AE73" s="317">
        <v>1227042</v>
      </c>
      <c r="AF73" s="500"/>
      <c r="AG73" s="393">
        <v>1221399</v>
      </c>
      <c r="AH73" s="8">
        <v>1244655</v>
      </c>
      <c r="AI73" s="8">
        <v>1246327</v>
      </c>
      <c r="AJ73" s="24">
        <f t="shared" si="173"/>
        <v>1246878</v>
      </c>
      <c r="AK73" s="517">
        <v>1246878</v>
      </c>
      <c r="AL73" s="540"/>
      <c r="AM73" s="5">
        <f>AK73</f>
        <v>1246878</v>
      </c>
      <c r="AN73" s="5">
        <f t="shared" ref="AN73:BB73" si="178">AM73</f>
        <v>1246878</v>
      </c>
      <c r="AO73" s="5">
        <f t="shared" si="178"/>
        <v>1246878</v>
      </c>
      <c r="AP73" s="5">
        <f t="shared" si="178"/>
        <v>1246878</v>
      </c>
      <c r="AQ73" s="307">
        <f t="shared" si="167"/>
        <v>1246878</v>
      </c>
      <c r="AS73" s="377">
        <f>AQ73</f>
        <v>1246878</v>
      </c>
      <c r="AT73" s="5">
        <f t="shared" si="178"/>
        <v>1246878</v>
      </c>
      <c r="AU73" s="5">
        <f t="shared" si="178"/>
        <v>1246878</v>
      </c>
      <c r="AV73" s="5">
        <f t="shared" si="178"/>
        <v>1246878</v>
      </c>
      <c r="AW73" s="307">
        <f t="shared" si="174"/>
        <v>1246878</v>
      </c>
      <c r="AY73" s="377">
        <f>AW73</f>
        <v>1246878</v>
      </c>
      <c r="AZ73" s="5">
        <f t="shared" si="178"/>
        <v>1246878</v>
      </c>
      <c r="BA73" s="5">
        <f t="shared" si="178"/>
        <v>1246878</v>
      </c>
      <c r="BB73" s="5">
        <f t="shared" si="178"/>
        <v>1246878</v>
      </c>
      <c r="BC73" s="307">
        <f t="shared" si="174"/>
        <v>1246878</v>
      </c>
      <c r="BE73" s="377">
        <f>BC73</f>
        <v>1246878</v>
      </c>
      <c r="BF73" s="5">
        <f t="shared" si="177"/>
        <v>1246878</v>
      </c>
      <c r="BG73" s="5">
        <f t="shared" si="177"/>
        <v>1246878</v>
      </c>
      <c r="BH73" s="5">
        <f t="shared" si="177"/>
        <v>1246878</v>
      </c>
      <c r="BI73" s="307">
        <f t="shared" si="174"/>
        <v>1246878</v>
      </c>
      <c r="BK73" s="377">
        <f>BI73</f>
        <v>1246878</v>
      </c>
      <c r="BL73" s="5">
        <f t="shared" si="177"/>
        <v>1246878</v>
      </c>
      <c r="BM73" s="5">
        <f t="shared" si="177"/>
        <v>1246878</v>
      </c>
      <c r="BN73" s="5">
        <f t="shared" si="177"/>
        <v>1246878</v>
      </c>
      <c r="BO73" s="307">
        <f t="shared" si="174"/>
        <v>1246878</v>
      </c>
    </row>
    <row r="74" spans="1:67">
      <c r="A74" s="467" t="s">
        <v>51</v>
      </c>
      <c r="C74" s="393">
        <v>490952</v>
      </c>
      <c r="D74" s="8">
        <v>482828</v>
      </c>
      <c r="E74" s="8">
        <v>477639</v>
      </c>
      <c r="F74" s="24">
        <f>G74</f>
        <v>469128</v>
      </c>
      <c r="G74" s="317">
        <v>469128</v>
      </c>
      <c r="H74" s="500"/>
      <c r="I74" s="393">
        <v>464635</v>
      </c>
      <c r="J74" s="8">
        <v>455920</v>
      </c>
      <c r="K74" s="8">
        <v>451355</v>
      </c>
      <c r="L74" s="24">
        <f>M74</f>
        <v>441875</v>
      </c>
      <c r="M74" s="317">
        <v>441875</v>
      </c>
      <c r="N74" s="500"/>
      <c r="O74" s="393">
        <v>438958</v>
      </c>
      <c r="P74" s="8">
        <v>433853</v>
      </c>
      <c r="Q74" s="8">
        <v>425863</v>
      </c>
      <c r="R74" s="24">
        <f t="shared" si="170"/>
        <v>419066</v>
      </c>
      <c r="S74" s="317">
        <v>419066</v>
      </c>
      <c r="T74" s="500"/>
      <c r="U74" s="393">
        <v>406881</v>
      </c>
      <c r="V74" s="8">
        <v>400448</v>
      </c>
      <c r="W74" s="8">
        <v>392401</v>
      </c>
      <c r="X74" s="24">
        <f t="shared" si="171"/>
        <v>386620</v>
      </c>
      <c r="Y74" s="317">
        <v>386620</v>
      </c>
      <c r="Z74" s="500"/>
      <c r="AA74" s="393">
        <v>380053</v>
      </c>
      <c r="AB74" s="8">
        <v>374230</v>
      </c>
      <c r="AC74" s="8">
        <v>366497</v>
      </c>
      <c r="AD74" s="24">
        <f t="shared" si="172"/>
        <v>644912</v>
      </c>
      <c r="AE74" s="317">
        <v>644912</v>
      </c>
      <c r="AF74" s="500"/>
      <c r="AG74" s="393">
        <v>633445</v>
      </c>
      <c r="AH74" s="8">
        <v>637254</v>
      </c>
      <c r="AI74" s="8">
        <v>621834</v>
      </c>
      <c r="AJ74" s="24">
        <f t="shared" si="173"/>
        <v>620782</v>
      </c>
      <c r="AK74" s="517">
        <v>620782</v>
      </c>
      <c r="AL74" s="540"/>
      <c r="AM74" s="5">
        <f>AK74</f>
        <v>620782</v>
      </c>
      <c r="AN74" s="5">
        <f t="shared" si="177"/>
        <v>620782</v>
      </c>
      <c r="AO74" s="5">
        <f t="shared" si="177"/>
        <v>620782</v>
      </c>
      <c r="AP74" s="5">
        <f t="shared" si="177"/>
        <v>620782</v>
      </c>
      <c r="AQ74" s="307">
        <f t="shared" si="167"/>
        <v>620782</v>
      </c>
      <c r="AS74" s="377">
        <f>AQ74</f>
        <v>620782</v>
      </c>
      <c r="AT74" s="5">
        <f t="shared" si="177"/>
        <v>620782</v>
      </c>
      <c r="AU74" s="5">
        <f t="shared" si="177"/>
        <v>620782</v>
      </c>
      <c r="AV74" s="5">
        <f t="shared" si="177"/>
        <v>620782</v>
      </c>
      <c r="AW74" s="307">
        <f t="shared" si="174"/>
        <v>620782</v>
      </c>
      <c r="AY74" s="377">
        <f>AW74</f>
        <v>620782</v>
      </c>
      <c r="AZ74" s="5">
        <f t="shared" si="177"/>
        <v>620782</v>
      </c>
      <c r="BA74" s="5">
        <f t="shared" si="177"/>
        <v>620782</v>
      </c>
      <c r="BB74" s="5">
        <f t="shared" si="177"/>
        <v>620782</v>
      </c>
      <c r="BC74" s="307">
        <f t="shared" si="174"/>
        <v>620782</v>
      </c>
      <c r="BE74" s="377">
        <f>BC74</f>
        <v>620782</v>
      </c>
      <c r="BF74" s="5">
        <f t="shared" si="177"/>
        <v>620782</v>
      </c>
      <c r="BG74" s="5">
        <f t="shared" si="177"/>
        <v>620782</v>
      </c>
      <c r="BH74" s="5">
        <f t="shared" si="177"/>
        <v>620782</v>
      </c>
      <c r="BI74" s="307">
        <f t="shared" si="174"/>
        <v>620782</v>
      </c>
      <c r="BK74" s="377">
        <f>BI74</f>
        <v>620782</v>
      </c>
      <c r="BL74" s="5">
        <f t="shared" si="177"/>
        <v>620782</v>
      </c>
      <c r="BM74" s="5">
        <f t="shared" si="177"/>
        <v>620782</v>
      </c>
      <c r="BN74" s="5">
        <f t="shared" si="177"/>
        <v>620782</v>
      </c>
      <c r="BO74" s="307">
        <f t="shared" si="174"/>
        <v>620782</v>
      </c>
    </row>
    <row r="75" spans="1:67">
      <c r="A75" s="467" t="s">
        <v>52</v>
      </c>
      <c r="C75" s="393">
        <v>13580</v>
      </c>
      <c r="D75" s="8">
        <v>13448</v>
      </c>
      <c r="E75" s="8">
        <v>19757</v>
      </c>
      <c r="F75" s="24">
        <f>G75</f>
        <v>17498</v>
      </c>
      <c r="G75" s="317">
        <v>17498</v>
      </c>
      <c r="H75" s="500"/>
      <c r="I75" s="393">
        <v>16006</v>
      </c>
      <c r="J75" s="8">
        <v>16426</v>
      </c>
      <c r="K75" s="8">
        <v>17622</v>
      </c>
      <c r="L75" s="24">
        <f>M75</f>
        <v>18121</v>
      </c>
      <c r="M75" s="317">
        <v>18121</v>
      </c>
      <c r="N75" s="500"/>
      <c r="O75" s="393">
        <v>17901</v>
      </c>
      <c r="P75" s="8">
        <v>12817</v>
      </c>
      <c r="Q75" s="8">
        <v>12539</v>
      </c>
      <c r="R75" s="24">
        <f t="shared" si="170"/>
        <v>13560</v>
      </c>
      <c r="S75" s="317">
        <v>13560</v>
      </c>
      <c r="T75" s="500"/>
      <c r="U75" s="393">
        <v>11392</v>
      </c>
      <c r="V75" s="8">
        <v>14893</v>
      </c>
      <c r="W75" s="8">
        <v>10079</v>
      </c>
      <c r="X75" s="24">
        <f t="shared" si="171"/>
        <v>16516</v>
      </c>
      <c r="Y75" s="317">
        <v>16516</v>
      </c>
      <c r="Z75" s="500"/>
      <c r="AA75" s="393">
        <v>16580</v>
      </c>
      <c r="AB75" s="8">
        <v>13042</v>
      </c>
      <c r="AC75" s="8">
        <v>14825</v>
      </c>
      <c r="AD75" s="24">
        <f t="shared" si="172"/>
        <v>15602</v>
      </c>
      <c r="AE75" s="317">
        <v>15602</v>
      </c>
      <c r="AF75" s="500"/>
      <c r="AG75" s="393">
        <v>25812</v>
      </c>
      <c r="AH75" s="8">
        <v>48449</v>
      </c>
      <c r="AI75" s="8">
        <v>78032</v>
      </c>
      <c r="AJ75" s="24">
        <f t="shared" si="173"/>
        <v>81803</v>
      </c>
      <c r="AK75" s="517">
        <v>81803</v>
      </c>
      <c r="AL75" s="540"/>
      <c r="AM75" s="5">
        <f>AK75</f>
        <v>81803</v>
      </c>
      <c r="AN75" s="5">
        <f t="shared" si="177"/>
        <v>81803</v>
      </c>
      <c r="AO75" s="5">
        <f t="shared" si="177"/>
        <v>81803</v>
      </c>
      <c r="AP75" s="5">
        <f t="shared" si="177"/>
        <v>81803</v>
      </c>
      <c r="AQ75" s="307">
        <f t="shared" si="167"/>
        <v>81803</v>
      </c>
      <c r="AS75" s="377">
        <f>AQ75</f>
        <v>81803</v>
      </c>
      <c r="AT75" s="5">
        <f t="shared" si="177"/>
        <v>81803</v>
      </c>
      <c r="AU75" s="5">
        <f t="shared" si="177"/>
        <v>81803</v>
      </c>
      <c r="AV75" s="5">
        <f t="shared" si="177"/>
        <v>81803</v>
      </c>
      <c r="AW75" s="307">
        <f t="shared" si="174"/>
        <v>81803</v>
      </c>
      <c r="AY75" s="377">
        <f>AW75</f>
        <v>81803</v>
      </c>
      <c r="AZ75" s="5">
        <f t="shared" si="177"/>
        <v>81803</v>
      </c>
      <c r="BA75" s="5">
        <f t="shared" si="177"/>
        <v>81803</v>
      </c>
      <c r="BB75" s="5">
        <f t="shared" si="177"/>
        <v>81803</v>
      </c>
      <c r="BC75" s="307">
        <f t="shared" si="174"/>
        <v>81803</v>
      </c>
      <c r="BE75" s="377">
        <f>BC75</f>
        <v>81803</v>
      </c>
      <c r="BF75" s="5">
        <f t="shared" si="177"/>
        <v>81803</v>
      </c>
      <c r="BG75" s="5">
        <f t="shared" si="177"/>
        <v>81803</v>
      </c>
      <c r="BH75" s="5">
        <f t="shared" si="177"/>
        <v>81803</v>
      </c>
      <c r="BI75" s="307">
        <f t="shared" si="174"/>
        <v>81803</v>
      </c>
      <c r="BK75" s="377">
        <f>BI75</f>
        <v>81803</v>
      </c>
      <c r="BL75" s="5">
        <f t="shared" si="177"/>
        <v>81803</v>
      </c>
      <c r="BM75" s="5">
        <f t="shared" si="177"/>
        <v>81803</v>
      </c>
      <c r="BN75" s="5">
        <f t="shared" si="177"/>
        <v>81803</v>
      </c>
      <c r="BO75" s="307">
        <f t="shared" si="174"/>
        <v>81803</v>
      </c>
    </row>
    <row r="76" spans="1:67">
      <c r="A76" s="467" t="s">
        <v>53</v>
      </c>
      <c r="C76" s="393">
        <v>974392</v>
      </c>
      <c r="D76" s="8">
        <v>969095</v>
      </c>
      <c r="E76" s="8">
        <v>976124</v>
      </c>
      <c r="F76" s="24">
        <f>G76</f>
        <v>965149</v>
      </c>
      <c r="G76" s="317">
        <v>965149</v>
      </c>
      <c r="H76" s="500"/>
      <c r="I76" s="393">
        <v>973346</v>
      </c>
      <c r="J76" s="8">
        <v>969597</v>
      </c>
      <c r="K76" s="8">
        <v>983079</v>
      </c>
      <c r="L76" s="24">
        <f>M76</f>
        <v>974185</v>
      </c>
      <c r="M76" s="317">
        <v>974185</v>
      </c>
      <c r="N76" s="500"/>
      <c r="O76" s="393">
        <v>1145319</v>
      </c>
      <c r="P76" s="8">
        <v>1145218</v>
      </c>
      <c r="Q76" s="8">
        <v>1127285</v>
      </c>
      <c r="R76" s="24">
        <f t="shared" si="170"/>
        <v>1119845</v>
      </c>
      <c r="S76" s="317">
        <v>1119845</v>
      </c>
      <c r="T76" s="500"/>
      <c r="U76" s="393">
        <v>1098426</v>
      </c>
      <c r="V76" s="8">
        <v>1092017</v>
      </c>
      <c r="W76" s="8">
        <v>1073195</v>
      </c>
      <c r="X76" s="24">
        <f t="shared" si="171"/>
        <v>1080500</v>
      </c>
      <c r="Y76" s="317">
        <v>1080500</v>
      </c>
      <c r="Z76" s="500"/>
      <c r="AA76" s="393">
        <v>1082244</v>
      </c>
      <c r="AB76" s="8">
        <v>1067274</v>
      </c>
      <c r="AC76" s="8">
        <v>1061779</v>
      </c>
      <c r="AD76" s="24">
        <f t="shared" si="172"/>
        <v>2049353</v>
      </c>
      <c r="AE76" s="317">
        <v>2049353</v>
      </c>
      <c r="AF76" s="500"/>
      <c r="AG76" s="393">
        <v>2037467</v>
      </c>
      <c r="AH76" s="8">
        <v>2087406</v>
      </c>
      <c r="AI76" s="8">
        <v>2107861</v>
      </c>
      <c r="AJ76" s="24">
        <f t="shared" si="173"/>
        <v>2115644</v>
      </c>
      <c r="AK76" s="517">
        <v>2115644</v>
      </c>
      <c r="AL76" s="540"/>
      <c r="AM76" s="5">
        <f>AK76</f>
        <v>2115644</v>
      </c>
      <c r="AN76" s="5">
        <f t="shared" si="177"/>
        <v>2115644</v>
      </c>
      <c r="AO76" s="5">
        <f t="shared" si="177"/>
        <v>2115644</v>
      </c>
      <c r="AP76" s="5">
        <f t="shared" si="177"/>
        <v>2115644</v>
      </c>
      <c r="AQ76" s="307">
        <f t="shared" si="167"/>
        <v>2115644</v>
      </c>
      <c r="AS76" s="377">
        <f>AQ76</f>
        <v>2115644</v>
      </c>
      <c r="AT76" s="5">
        <f t="shared" si="177"/>
        <v>2115644</v>
      </c>
      <c r="AU76" s="5">
        <f t="shared" si="177"/>
        <v>2115644</v>
      </c>
      <c r="AV76" s="5">
        <f t="shared" si="177"/>
        <v>2115644</v>
      </c>
      <c r="AW76" s="307">
        <f t="shared" si="174"/>
        <v>2115644</v>
      </c>
      <c r="AY76" s="377">
        <f>AW76</f>
        <v>2115644</v>
      </c>
      <c r="AZ76" s="5">
        <f t="shared" si="177"/>
        <v>2115644</v>
      </c>
      <c r="BA76" s="5">
        <f t="shared" si="177"/>
        <v>2115644</v>
      </c>
      <c r="BB76" s="5">
        <f t="shared" si="177"/>
        <v>2115644</v>
      </c>
      <c r="BC76" s="307">
        <f t="shared" si="174"/>
        <v>2115644</v>
      </c>
      <c r="BE76" s="377">
        <f>BC76</f>
        <v>2115644</v>
      </c>
      <c r="BF76" s="5">
        <f t="shared" si="177"/>
        <v>2115644</v>
      </c>
      <c r="BG76" s="5">
        <f t="shared" si="177"/>
        <v>2115644</v>
      </c>
      <c r="BH76" s="5">
        <f t="shared" si="177"/>
        <v>2115644</v>
      </c>
      <c r="BI76" s="307">
        <f t="shared" si="174"/>
        <v>2115644</v>
      </c>
      <c r="BK76" s="377">
        <f>BI76</f>
        <v>2115644</v>
      </c>
      <c r="BL76" s="5">
        <f t="shared" si="177"/>
        <v>2115644</v>
      </c>
      <c r="BM76" s="5">
        <f t="shared" si="177"/>
        <v>2115644</v>
      </c>
      <c r="BN76" s="5">
        <f t="shared" si="177"/>
        <v>2115644</v>
      </c>
      <c r="BO76" s="307">
        <f t="shared" si="174"/>
        <v>2115644</v>
      </c>
    </row>
    <row r="77" spans="1:67" ht="15">
      <c r="A77" s="456" t="s">
        <v>54</v>
      </c>
      <c r="C77" s="347">
        <f>SUM(C69,C70,C76)</f>
        <v>3645653</v>
      </c>
      <c r="D77" s="9">
        <f t="shared" ref="D77:AK77" si="179">SUM(D69,D70,D76)</f>
        <v>3806282</v>
      </c>
      <c r="E77" s="9">
        <f>SUM(E69,E70,E76)</f>
        <v>3748353</v>
      </c>
      <c r="F77" s="9">
        <f t="shared" si="179"/>
        <v>3706570</v>
      </c>
      <c r="G77" s="296">
        <f t="shared" si="179"/>
        <v>3706570</v>
      </c>
      <c r="H77" s="500"/>
      <c r="I77" s="347">
        <f t="shared" si="179"/>
        <v>3684816</v>
      </c>
      <c r="J77" s="9">
        <f t="shared" si="179"/>
        <v>3715461</v>
      </c>
      <c r="K77" s="9">
        <f t="shared" si="179"/>
        <v>3774329</v>
      </c>
      <c r="L77" s="9">
        <f t="shared" si="179"/>
        <v>3738321</v>
      </c>
      <c r="M77" s="296">
        <f t="shared" si="179"/>
        <v>3738321</v>
      </c>
      <c r="N77" s="500"/>
      <c r="O77" s="347">
        <f t="shared" si="179"/>
        <v>3882054</v>
      </c>
      <c r="P77" s="9">
        <f t="shared" si="179"/>
        <v>3955321</v>
      </c>
      <c r="Q77" s="9">
        <f t="shared" si="179"/>
        <v>4021862</v>
      </c>
      <c r="R77" s="9">
        <f t="shared" si="179"/>
        <v>4108904</v>
      </c>
      <c r="S77" s="296">
        <f t="shared" si="179"/>
        <v>4108904</v>
      </c>
      <c r="T77" s="500"/>
      <c r="U77" s="347">
        <f t="shared" si="179"/>
        <v>4132021</v>
      </c>
      <c r="V77" s="9">
        <f t="shared" si="179"/>
        <v>4077629</v>
      </c>
      <c r="W77" s="9">
        <f t="shared" si="179"/>
        <v>4106187</v>
      </c>
      <c r="X77" s="9">
        <f t="shared" si="179"/>
        <v>4131520</v>
      </c>
      <c r="Y77" s="296">
        <f t="shared" si="179"/>
        <v>4131520</v>
      </c>
      <c r="Z77" s="500"/>
      <c r="AA77" s="347">
        <f t="shared" si="179"/>
        <v>4152539</v>
      </c>
      <c r="AB77" s="9">
        <f t="shared" si="179"/>
        <v>4275879</v>
      </c>
      <c r="AC77" s="9">
        <f t="shared" si="179"/>
        <v>4354299</v>
      </c>
      <c r="AD77" s="9">
        <f t="shared" si="179"/>
        <v>5653699</v>
      </c>
      <c r="AE77" s="296">
        <f t="shared" si="179"/>
        <v>5653699</v>
      </c>
      <c r="AF77" s="500"/>
      <c r="AG77" s="347">
        <f t="shared" si="179"/>
        <v>5726257</v>
      </c>
      <c r="AH77" s="9">
        <f t="shared" si="179"/>
        <v>5924656</v>
      </c>
      <c r="AI77" s="9">
        <f t="shared" si="179"/>
        <v>6072627</v>
      </c>
      <c r="AJ77" s="9">
        <f t="shared" si="179"/>
        <v>6129707</v>
      </c>
      <c r="AK77" s="506">
        <f t="shared" si="179"/>
        <v>6129707</v>
      </c>
      <c r="AL77" s="540"/>
      <c r="AM77" s="9">
        <f>SUM(AM69,AM70,AM76)</f>
        <v>6108996.9974582251</v>
      </c>
      <c r="AN77" s="9">
        <f t="shared" ref="AN77" si="180">SUM(AN69,AN70,AN76)</f>
        <v>6256943.1325894753</v>
      </c>
      <c r="AO77" s="9">
        <f t="shared" ref="AO77" si="181">SUM(AO69,AO70,AO76)</f>
        <v>6306822.6681034258</v>
      </c>
      <c r="AP77" s="9">
        <f t="shared" ref="AP77" si="182">SUM(AP69,AP70,AP76)</f>
        <v>6311367.8149439972</v>
      </c>
      <c r="AQ77" s="367">
        <f t="shared" si="167"/>
        <v>6311367.8149439972</v>
      </c>
      <c r="AS77" s="347">
        <f t="shared" ref="AS77" si="183">SUM(AS69,AS70,AS76)</f>
        <v>6326275.9034593226</v>
      </c>
      <c r="AT77" s="9">
        <f t="shared" ref="AT77" si="184">SUM(AT69,AT70,AT76)</f>
        <v>6486195.7389167026</v>
      </c>
      <c r="AU77" s="9">
        <f t="shared" ref="AU77" si="185">SUM(AU69,AU70,AU76)</f>
        <v>6574960.9396215063</v>
      </c>
      <c r="AV77" s="9">
        <f t="shared" ref="AV77" si="186">SUM(AV69,AV70,AV76)</f>
        <v>6594328.2401765101</v>
      </c>
      <c r="AW77" s="367">
        <f t="shared" si="174"/>
        <v>6594328.2401765101</v>
      </c>
      <c r="AY77" s="347">
        <f t="shared" ref="AY77" si="187">SUM(AY69,AY70,AY76)</f>
        <v>6608263.472018484</v>
      </c>
      <c r="AZ77" s="9">
        <f t="shared" ref="AZ77" si="188">SUM(AZ69,AZ70,AZ76)</f>
        <v>6773267.3504940076</v>
      </c>
      <c r="BA77" s="9">
        <f t="shared" ref="BA77" si="189">SUM(BA69,BA70,BA76)</f>
        <v>6859466.8175161574</v>
      </c>
      <c r="BB77" s="9">
        <f t="shared" ref="BB77" si="190">SUM(BB69,BB70,BB76)</f>
        <v>6900912.0414330605</v>
      </c>
      <c r="BC77" s="367">
        <f t="shared" si="174"/>
        <v>6900912.0414330605</v>
      </c>
      <c r="BE77" s="347">
        <f t="shared" ref="BE77" si="191">SUM(BE69,BE70,BE76)</f>
        <v>6934949.730769108</v>
      </c>
      <c r="BF77" s="9">
        <f t="shared" ref="BF77" si="192">SUM(BF69,BF70,BF76)</f>
        <v>7163323.5715301484</v>
      </c>
      <c r="BG77" s="9">
        <f t="shared" ref="BG77" si="193">SUM(BG69,BG70,BG76)</f>
        <v>7263084.4236980248</v>
      </c>
      <c r="BH77" s="9">
        <f t="shared" ref="BH77" si="194">SUM(BH69,BH70,BH76)</f>
        <v>7324322.5214986969</v>
      </c>
      <c r="BI77" s="367">
        <f t="shared" si="174"/>
        <v>7324322.5214986969</v>
      </c>
      <c r="BK77" s="347">
        <f t="shared" ref="BK77" si="195">SUM(BK69,BK70,BK76)</f>
        <v>7376008.8616160881</v>
      </c>
      <c r="BL77" s="9">
        <f t="shared" ref="BL77" si="196">SUM(BL69,BL70,BL76)</f>
        <v>7655303.4202511907</v>
      </c>
      <c r="BM77" s="9">
        <f t="shared" ref="BM77" si="197">SUM(BM69,BM70,BM76)</f>
        <v>7745096.2203706186</v>
      </c>
      <c r="BN77" s="9">
        <f t="shared" ref="BN77" si="198">SUM(BN69,BN70,BN76)</f>
        <v>7768526.2853422891</v>
      </c>
      <c r="BO77" s="367">
        <f t="shared" si="174"/>
        <v>7768526.2853422891</v>
      </c>
    </row>
    <row r="78" spans="1:67">
      <c r="A78" s="466" t="s">
        <v>55</v>
      </c>
      <c r="C78" s="501"/>
      <c r="D78" s="24"/>
      <c r="E78" s="24"/>
      <c r="F78" s="24"/>
      <c r="G78" s="386"/>
      <c r="H78" s="500"/>
      <c r="I78" s="501"/>
      <c r="J78" s="24"/>
      <c r="K78" s="24"/>
      <c r="L78" s="24"/>
      <c r="M78" s="386"/>
      <c r="N78" s="500"/>
      <c r="O78" s="501"/>
      <c r="P78" s="24"/>
      <c r="Q78" s="24"/>
      <c r="R78" s="24"/>
      <c r="S78" s="386"/>
      <c r="T78" s="500"/>
      <c r="U78" s="501"/>
      <c r="V78" s="24"/>
      <c r="W78" s="24"/>
      <c r="X78" s="24"/>
      <c r="Y78" s="386"/>
      <c r="Z78" s="500"/>
      <c r="AA78" s="501"/>
      <c r="AB78" s="24"/>
      <c r="AC78" s="24"/>
      <c r="AD78" s="24"/>
      <c r="AE78" s="386"/>
      <c r="AF78" s="500"/>
      <c r="AG78" s="501"/>
      <c r="AH78" s="16" t="s">
        <v>36</v>
      </c>
      <c r="AI78" s="16" t="s">
        <v>36</v>
      </c>
      <c r="AJ78" s="24" t="str">
        <f t="shared" si="173"/>
        <v> </v>
      </c>
      <c r="AK78" s="524" t="s">
        <v>36</v>
      </c>
      <c r="AL78" s="540"/>
      <c r="AM78" s="5"/>
      <c r="AN78" s="5"/>
      <c r="AO78" s="5"/>
      <c r="AP78" s="5"/>
      <c r="AQ78" s="307">
        <f t="shared" si="167"/>
        <v>0</v>
      </c>
      <c r="AS78" s="377"/>
      <c r="AT78" s="5"/>
      <c r="AU78" s="5"/>
      <c r="AV78" s="5"/>
      <c r="AW78" s="307">
        <f t="shared" si="174"/>
        <v>0</v>
      </c>
      <c r="AY78" s="377"/>
      <c r="AZ78" s="5"/>
      <c r="BA78" s="5"/>
      <c r="BB78" s="5"/>
      <c r="BC78" s="307">
        <f t="shared" si="174"/>
        <v>0</v>
      </c>
      <c r="BE78" s="377"/>
      <c r="BF78" s="5"/>
      <c r="BG78" s="5"/>
      <c r="BH78" s="5"/>
      <c r="BI78" s="307">
        <f t="shared" si="174"/>
        <v>0</v>
      </c>
      <c r="BK78" s="377"/>
      <c r="BL78" s="5"/>
      <c r="BM78" s="5"/>
      <c r="BN78" s="5"/>
      <c r="BO78" s="307">
        <f t="shared" si="174"/>
        <v>0</v>
      </c>
    </row>
    <row r="79" spans="1:67">
      <c r="A79" s="467" t="s">
        <v>71</v>
      </c>
      <c r="C79" s="393">
        <v>0</v>
      </c>
      <c r="D79" s="8">
        <v>107798</v>
      </c>
      <c r="E79" s="8">
        <v>4000</v>
      </c>
      <c r="F79" s="24">
        <f>G79</f>
        <v>4000</v>
      </c>
      <c r="G79" s="317">
        <v>4000</v>
      </c>
      <c r="H79" s="500"/>
      <c r="I79" s="393">
        <v>4000</v>
      </c>
      <c r="J79" s="8">
        <v>4000</v>
      </c>
      <c r="K79" s="8">
        <v>7535</v>
      </c>
      <c r="L79" s="24">
        <f>M79</f>
        <v>7535</v>
      </c>
      <c r="M79" s="317">
        <v>7535</v>
      </c>
      <c r="N79" s="500"/>
      <c r="O79" s="393">
        <v>7535</v>
      </c>
      <c r="P79" s="8">
        <v>7535</v>
      </c>
      <c r="Q79" s="8">
        <v>7535</v>
      </c>
      <c r="R79" s="24">
        <f t="shared" si="170"/>
        <v>7535</v>
      </c>
      <c r="S79" s="317">
        <v>7535</v>
      </c>
      <c r="T79" s="500"/>
      <c r="U79" s="393">
        <v>7535</v>
      </c>
      <c r="V79" s="8">
        <v>7535</v>
      </c>
      <c r="W79" s="8">
        <v>7535</v>
      </c>
      <c r="X79" s="24">
        <f t="shared" si="171"/>
        <v>7535</v>
      </c>
      <c r="Y79" s="317">
        <v>7535</v>
      </c>
      <c r="Z79" s="500"/>
      <c r="AA79" s="393">
        <v>7535</v>
      </c>
      <c r="AB79" s="8">
        <v>7535</v>
      </c>
      <c r="AC79" s="8">
        <v>7535</v>
      </c>
      <c r="AD79" s="24">
        <f t="shared" si="172"/>
        <v>17535</v>
      </c>
      <c r="AE79" s="317">
        <v>17535</v>
      </c>
      <c r="AF79" s="500"/>
      <c r="AG79" s="393">
        <v>17535</v>
      </c>
      <c r="AH79" s="8">
        <v>17535</v>
      </c>
      <c r="AI79" s="8">
        <v>17535</v>
      </c>
      <c r="AJ79" s="24">
        <f t="shared" si="173"/>
        <v>10000</v>
      </c>
      <c r="AK79" s="517">
        <v>10000</v>
      </c>
      <c r="AL79" s="540"/>
      <c r="AM79" s="8">
        <f>AM149</f>
        <v>7962.8954130525435</v>
      </c>
      <c r="AN79" s="8">
        <f t="shared" ref="AN79:AP79" si="199">AN149</f>
        <v>11286.418952887027</v>
      </c>
      <c r="AO79" s="8">
        <f t="shared" si="199"/>
        <v>11099.93144172577</v>
      </c>
      <c r="AP79" s="8">
        <f t="shared" si="199"/>
        <v>8912.771076722338</v>
      </c>
      <c r="AQ79" s="386">
        <f t="shared" si="167"/>
        <v>8912.771076722338</v>
      </c>
      <c r="AR79" s="500"/>
      <c r="AS79" s="393">
        <f>AS149</f>
        <v>9130.9850829143179</v>
      </c>
      <c r="AT79" s="8">
        <f t="shared" ref="AT79:AV79" si="200">AT149</f>
        <v>12934.545926621175</v>
      </c>
      <c r="AU79" s="8">
        <f t="shared" si="200"/>
        <v>12666.520151229684</v>
      </c>
      <c r="AV79" s="8">
        <f t="shared" si="200"/>
        <v>10268.348138082049</v>
      </c>
      <c r="AW79" s="317">
        <f t="shared" ref="AW79:BI79" si="201">AV79</f>
        <v>10268.348138082049</v>
      </c>
      <c r="AX79" s="500"/>
      <c r="AY79" s="393">
        <f>AY149</f>
        <v>10204.509834109413</v>
      </c>
      <c r="AZ79" s="8">
        <f t="shared" ref="AZ79:BB79" si="202">AZ149</f>
        <v>13607.863157983204</v>
      </c>
      <c r="BA79" s="8">
        <f t="shared" si="202"/>
        <v>13252.732804081279</v>
      </c>
      <c r="BB79" s="8">
        <f t="shared" si="202"/>
        <v>11959.717770268962</v>
      </c>
      <c r="BC79" s="317">
        <f t="shared" si="201"/>
        <v>11959.717770268962</v>
      </c>
      <c r="BD79" s="500"/>
      <c r="BE79" s="393">
        <f>BE149</f>
        <v>11443.1691020575</v>
      </c>
      <c r="BF79" s="8">
        <f t="shared" ref="BF79:BH79" si="203">BF149</f>
        <v>16494.103256233309</v>
      </c>
      <c r="BG79" s="8">
        <f t="shared" si="203"/>
        <v>15611.920557716086</v>
      </c>
      <c r="BH79" s="8">
        <f t="shared" si="203"/>
        <v>14024.101268162529</v>
      </c>
      <c r="BI79" s="317">
        <f t="shared" si="201"/>
        <v>14024.101268162529</v>
      </c>
      <c r="BJ79" s="500"/>
      <c r="BK79" s="393">
        <f>BK149</f>
        <v>13234.259509570415</v>
      </c>
      <c r="BL79" s="8">
        <f t="shared" ref="BL79:BN79" si="204">BL149</f>
        <v>18771.536923638316</v>
      </c>
      <c r="BM79" s="8">
        <f t="shared" si="204"/>
        <v>17649.390842498899</v>
      </c>
      <c r="BN79" s="8">
        <f t="shared" si="204"/>
        <v>14536.337145190086</v>
      </c>
      <c r="BO79" s="317">
        <f t="shared" ref="BO79" si="205">BN79</f>
        <v>14536.337145190086</v>
      </c>
    </row>
    <row r="80" spans="1:67">
      <c r="A80" s="467" t="s">
        <v>56</v>
      </c>
      <c r="C80" s="393">
        <v>218676</v>
      </c>
      <c r="D80" s="8">
        <v>224218</v>
      </c>
      <c r="E80" s="8">
        <v>223599</v>
      </c>
      <c r="F80" s="24">
        <f>G80</f>
        <v>224231</v>
      </c>
      <c r="G80" s="317">
        <v>224231</v>
      </c>
      <c r="H80" s="500"/>
      <c r="I80" s="393">
        <v>237953</v>
      </c>
      <c r="J80" s="8">
        <v>247821</v>
      </c>
      <c r="K80" s="8">
        <v>248405</v>
      </c>
      <c r="L80" s="24">
        <f>M80</f>
        <v>276461</v>
      </c>
      <c r="M80" s="317">
        <v>276461</v>
      </c>
      <c r="N80" s="500"/>
      <c r="O80" s="393">
        <v>242260</v>
      </c>
      <c r="P80" s="8">
        <v>253177</v>
      </c>
      <c r="Q80" s="8">
        <v>277545</v>
      </c>
      <c r="R80" s="24">
        <f t="shared" si="170"/>
        <v>298375</v>
      </c>
      <c r="S80" s="317">
        <v>298375</v>
      </c>
      <c r="T80" s="500"/>
      <c r="U80" s="393">
        <v>267892</v>
      </c>
      <c r="V80" s="8">
        <v>188340</v>
      </c>
      <c r="W80" s="8">
        <v>213776</v>
      </c>
      <c r="X80" s="24">
        <f t="shared" si="171"/>
        <v>195878</v>
      </c>
      <c r="Y80" s="317">
        <v>195878</v>
      </c>
      <c r="Z80" s="500"/>
      <c r="AA80" s="393">
        <v>213355</v>
      </c>
      <c r="AB80" s="8">
        <v>249206</v>
      </c>
      <c r="AC80" s="8">
        <v>286565</v>
      </c>
      <c r="AD80" s="24">
        <f t="shared" si="172"/>
        <v>359866</v>
      </c>
      <c r="AE80" s="317">
        <v>359866</v>
      </c>
      <c r="AF80" s="500"/>
      <c r="AG80" s="393">
        <v>394152</v>
      </c>
      <c r="AH80" s="8">
        <v>409218</v>
      </c>
      <c r="AI80" s="8">
        <v>416913</v>
      </c>
      <c r="AJ80" s="24">
        <f t="shared" si="173"/>
        <v>446629</v>
      </c>
      <c r="AK80" s="517">
        <v>446629</v>
      </c>
      <c r="AL80" s="540"/>
      <c r="AM80" s="5">
        <f>(AM24/90)*AM134</f>
        <v>406875.99087654782</v>
      </c>
      <c r="AN80" s="5">
        <f>(AN24/90)*AN134</f>
        <v>477318.84375862335</v>
      </c>
      <c r="AO80" s="5">
        <f>(AO24/90)*AO134</f>
        <v>454462.12970874109</v>
      </c>
      <c r="AP80" s="5">
        <f>(AP24/90)*AP134</f>
        <v>426248.22093338851</v>
      </c>
      <c r="AQ80" s="307">
        <f t="shared" si="167"/>
        <v>426248.22093338851</v>
      </c>
      <c r="AS80" s="377">
        <f>(AS24/90)*AS134</f>
        <v>424390.47579507314</v>
      </c>
      <c r="AT80" s="5">
        <f>(AT24/90)*AT134</f>
        <v>496593.04847597965</v>
      </c>
      <c r="AU80" s="5">
        <f>(AU24/90)*AU134</f>
        <v>504061.46861027059</v>
      </c>
      <c r="AV80" s="5">
        <f>(AV24/90)*AV134</f>
        <v>481706.50724303187</v>
      </c>
      <c r="AW80" s="307">
        <f t="shared" ref="AW80:AW102" si="206">AV80</f>
        <v>481706.50724303187</v>
      </c>
      <c r="AY80" s="377">
        <f>(AY24/90)*AY134</f>
        <v>479544.93419656419</v>
      </c>
      <c r="AZ80" s="5">
        <f>(AZ24/90)*AZ134</f>
        <v>559323.61716195627</v>
      </c>
      <c r="BA80" s="5">
        <f>(BA24/90)*BA134</f>
        <v>563423.74399883044</v>
      </c>
      <c r="BB80" s="5">
        <f>(BB24/90)*BB134</f>
        <v>540711.62841635651</v>
      </c>
      <c r="BC80" s="307">
        <f t="shared" ref="BC80:BC102" si="207">BB80</f>
        <v>540711.62841635651</v>
      </c>
      <c r="BE80" s="377">
        <f>(BE24/90)*BE134</f>
        <v>548566.98933409678</v>
      </c>
      <c r="BF80" s="5">
        <f>(BF24/90)*BF134</f>
        <v>656109.92372624786</v>
      </c>
      <c r="BG80" s="5">
        <f>(BG24/90)*BG134</f>
        <v>646345.5397858303</v>
      </c>
      <c r="BH80" s="5">
        <f>(BH24/90)*BH134</f>
        <v>621812.89496956451</v>
      </c>
      <c r="BI80" s="307">
        <f t="shared" ref="BI80:BI102" si="208">BH80</f>
        <v>621812.89496956451</v>
      </c>
      <c r="BK80" s="377">
        <f>(BK24/90)*BK134</f>
        <v>647455.5864203606</v>
      </c>
      <c r="BL80" s="5">
        <f>(BL24/90)*BL134</f>
        <v>797186.1794939005</v>
      </c>
      <c r="BM80" s="5">
        <f>(BM24/90)*BM134</f>
        <v>770608.32968569559</v>
      </c>
      <c r="BN80" s="5">
        <f>(BN24/90)*BN134</f>
        <v>722890.87819798675</v>
      </c>
      <c r="BO80" s="307">
        <f t="shared" ref="BO80:BO102" si="209">BN80</f>
        <v>722890.87819798675</v>
      </c>
    </row>
    <row r="81" spans="1:67">
      <c r="A81" s="467" t="s">
        <v>57</v>
      </c>
      <c r="C81" s="393">
        <v>64379</v>
      </c>
      <c r="D81" s="8">
        <v>72089</v>
      </c>
      <c r="E81" s="8">
        <v>69236</v>
      </c>
      <c r="F81" s="24">
        <f>G81</f>
        <v>67822</v>
      </c>
      <c r="G81" s="317">
        <v>67822</v>
      </c>
      <c r="H81" s="500"/>
      <c r="I81" s="393">
        <v>68748</v>
      </c>
      <c r="J81" s="8">
        <v>68705</v>
      </c>
      <c r="K81" s="8">
        <v>65172</v>
      </c>
      <c r="L81" s="24">
        <f>M81</f>
        <v>61843</v>
      </c>
      <c r="M81" s="317">
        <v>61843</v>
      </c>
      <c r="N81" s="500"/>
      <c r="O81" s="393">
        <v>67557</v>
      </c>
      <c r="P81" s="8">
        <v>75170</v>
      </c>
      <c r="Q81" s="8">
        <v>73157</v>
      </c>
      <c r="R81" s="24">
        <f t="shared" si="170"/>
        <v>73370</v>
      </c>
      <c r="S81" s="317">
        <v>73370</v>
      </c>
      <c r="T81" s="500"/>
      <c r="U81" s="393">
        <v>71243</v>
      </c>
      <c r="V81" s="8">
        <v>61902</v>
      </c>
      <c r="W81" s="8">
        <v>67412</v>
      </c>
      <c r="X81" s="24">
        <f t="shared" si="171"/>
        <v>74066</v>
      </c>
      <c r="Y81" s="317">
        <v>74066</v>
      </c>
      <c r="Z81" s="500"/>
      <c r="AA81" s="393">
        <v>83165</v>
      </c>
      <c r="AB81" s="8">
        <v>83733</v>
      </c>
      <c r="AC81" s="8">
        <v>86589</v>
      </c>
      <c r="AD81" s="24">
        <f t="shared" si="172"/>
        <v>83749</v>
      </c>
      <c r="AE81" s="317">
        <v>83749</v>
      </c>
      <c r="AF81" s="500"/>
      <c r="AG81" s="393">
        <v>90116</v>
      </c>
      <c r="AH81" s="8">
        <v>94531</v>
      </c>
      <c r="AI81" s="8">
        <v>93425</v>
      </c>
      <c r="AJ81" s="24">
        <f t="shared" si="173"/>
        <v>94094</v>
      </c>
      <c r="AK81" s="517">
        <v>94094</v>
      </c>
      <c r="AL81" s="540"/>
      <c r="AM81" s="5">
        <f>AK81</f>
        <v>94094</v>
      </c>
      <c r="AN81" s="5">
        <f t="shared" ref="AN81:BN84" si="210">AM81</f>
        <v>94094</v>
      </c>
      <c r="AO81" s="5">
        <f t="shared" si="210"/>
        <v>94094</v>
      </c>
      <c r="AP81" s="5">
        <f t="shared" si="210"/>
        <v>94094</v>
      </c>
      <c r="AQ81" s="307">
        <f t="shared" si="167"/>
        <v>94094</v>
      </c>
      <c r="AS81" s="377">
        <f>AQ81</f>
        <v>94094</v>
      </c>
      <c r="AT81" s="5">
        <f t="shared" si="210"/>
        <v>94094</v>
      </c>
      <c r="AU81" s="5">
        <f t="shared" si="210"/>
        <v>94094</v>
      </c>
      <c r="AV81" s="5">
        <f t="shared" si="210"/>
        <v>94094</v>
      </c>
      <c r="AW81" s="307">
        <f t="shared" si="206"/>
        <v>94094</v>
      </c>
      <c r="AY81" s="377">
        <f>AW81</f>
        <v>94094</v>
      </c>
      <c r="AZ81" s="5">
        <f t="shared" si="210"/>
        <v>94094</v>
      </c>
      <c r="BA81" s="5">
        <f t="shared" si="210"/>
        <v>94094</v>
      </c>
      <c r="BB81" s="5">
        <f t="shared" si="210"/>
        <v>94094</v>
      </c>
      <c r="BC81" s="307">
        <f t="shared" si="207"/>
        <v>94094</v>
      </c>
      <c r="BE81" s="377">
        <f>BC81</f>
        <v>94094</v>
      </c>
      <c r="BF81" s="5">
        <f t="shared" si="210"/>
        <v>94094</v>
      </c>
      <c r="BG81" s="5">
        <f t="shared" si="210"/>
        <v>94094</v>
      </c>
      <c r="BH81" s="5">
        <f t="shared" si="210"/>
        <v>94094</v>
      </c>
      <c r="BI81" s="307">
        <f t="shared" si="208"/>
        <v>94094</v>
      </c>
      <c r="BK81" s="377">
        <f>BI81</f>
        <v>94094</v>
      </c>
      <c r="BL81" s="5">
        <f t="shared" si="210"/>
        <v>94094</v>
      </c>
      <c r="BM81" s="5">
        <f t="shared" si="210"/>
        <v>94094</v>
      </c>
      <c r="BN81" s="5">
        <f t="shared" si="210"/>
        <v>94094</v>
      </c>
      <c r="BO81" s="307">
        <f t="shared" si="209"/>
        <v>94094</v>
      </c>
    </row>
    <row r="82" spans="1:67">
      <c r="A82" s="467" t="s">
        <v>76</v>
      </c>
      <c r="C82" s="393">
        <v>183957</v>
      </c>
      <c r="D82" s="8">
        <v>191495</v>
      </c>
      <c r="E82" s="8">
        <v>213189</v>
      </c>
      <c r="F82" s="24">
        <f>G82</f>
        <v>187982</v>
      </c>
      <c r="G82" s="317">
        <v>187982</v>
      </c>
      <c r="H82" s="500"/>
      <c r="I82" s="393">
        <v>194160</v>
      </c>
      <c r="J82" s="8">
        <v>200135</v>
      </c>
      <c r="K82" s="8">
        <v>229932</v>
      </c>
      <c r="L82" s="24">
        <f>M82</f>
        <v>233405</v>
      </c>
      <c r="M82" s="317">
        <v>233405</v>
      </c>
      <c r="N82" s="500"/>
      <c r="O82" s="393">
        <v>208386</v>
      </c>
      <c r="P82" s="8">
        <v>224497</v>
      </c>
      <c r="Q82" s="8">
        <v>253455</v>
      </c>
      <c r="R82" s="24">
        <f t="shared" si="170"/>
        <v>276540</v>
      </c>
      <c r="S82" s="317">
        <v>276540</v>
      </c>
      <c r="T82" s="500"/>
      <c r="U82" s="393">
        <v>255513</v>
      </c>
      <c r="V82" s="8">
        <v>289414</v>
      </c>
      <c r="W82" s="8">
        <v>293200</v>
      </c>
      <c r="X82" s="24">
        <f t="shared" si="171"/>
        <v>295823</v>
      </c>
      <c r="Y82" s="317">
        <v>295823</v>
      </c>
      <c r="Z82" s="500"/>
      <c r="AA82" s="393">
        <v>284212</v>
      </c>
      <c r="AB82" s="8">
        <v>311656</v>
      </c>
      <c r="AC82" s="8">
        <v>299427</v>
      </c>
      <c r="AD82" s="24">
        <f t="shared" si="172"/>
        <v>391414</v>
      </c>
      <c r="AE82" s="317">
        <v>391414</v>
      </c>
      <c r="AF82" s="500"/>
      <c r="AG82" s="393">
        <v>338835</v>
      </c>
      <c r="AH82" s="8">
        <v>387047</v>
      </c>
      <c r="AI82" s="8">
        <v>405257</v>
      </c>
      <c r="AJ82" s="24">
        <f t="shared" si="173"/>
        <v>396716</v>
      </c>
      <c r="AK82" s="517">
        <v>396716</v>
      </c>
      <c r="AL82" s="540"/>
      <c r="AM82" s="5">
        <f>AK82</f>
        <v>396716</v>
      </c>
      <c r="AN82" s="5">
        <f t="shared" ref="AN82:BB82" si="211">AM82</f>
        <v>396716</v>
      </c>
      <c r="AO82" s="5">
        <f t="shared" si="211"/>
        <v>396716</v>
      </c>
      <c r="AP82" s="5">
        <f t="shared" si="211"/>
        <v>396716</v>
      </c>
      <c r="AQ82" s="307">
        <f t="shared" si="167"/>
        <v>396716</v>
      </c>
      <c r="AS82" s="377">
        <f>AQ82</f>
        <v>396716</v>
      </c>
      <c r="AT82" s="5">
        <f t="shared" si="211"/>
        <v>396716</v>
      </c>
      <c r="AU82" s="5">
        <f t="shared" si="211"/>
        <v>396716</v>
      </c>
      <c r="AV82" s="5">
        <f t="shared" si="211"/>
        <v>396716</v>
      </c>
      <c r="AW82" s="307">
        <f t="shared" si="206"/>
        <v>396716</v>
      </c>
      <c r="AY82" s="377">
        <f>AW82</f>
        <v>396716</v>
      </c>
      <c r="AZ82" s="5">
        <f t="shared" si="211"/>
        <v>396716</v>
      </c>
      <c r="BA82" s="5">
        <f t="shared" si="211"/>
        <v>396716</v>
      </c>
      <c r="BB82" s="5">
        <f t="shared" si="211"/>
        <v>396716</v>
      </c>
      <c r="BC82" s="307">
        <f t="shared" si="207"/>
        <v>396716</v>
      </c>
      <c r="BE82" s="377">
        <f>BC82</f>
        <v>396716</v>
      </c>
      <c r="BF82" s="5">
        <f t="shared" si="210"/>
        <v>396716</v>
      </c>
      <c r="BG82" s="5">
        <f t="shared" si="210"/>
        <v>396716</v>
      </c>
      <c r="BH82" s="5">
        <f t="shared" si="210"/>
        <v>396716</v>
      </c>
      <c r="BI82" s="307">
        <f t="shared" si="208"/>
        <v>396716</v>
      </c>
      <c r="BK82" s="377">
        <f>BI82</f>
        <v>396716</v>
      </c>
      <c r="BL82" s="5">
        <f t="shared" si="210"/>
        <v>396716</v>
      </c>
      <c r="BM82" s="5">
        <f t="shared" si="210"/>
        <v>396716</v>
      </c>
      <c r="BN82" s="5">
        <f t="shared" si="210"/>
        <v>396716</v>
      </c>
      <c r="BO82" s="307">
        <f t="shared" si="209"/>
        <v>396716</v>
      </c>
    </row>
    <row r="83" spans="1:67">
      <c r="A83" s="467" t="s">
        <v>58</v>
      </c>
      <c r="C83" s="393">
        <v>21569</v>
      </c>
      <c r="D83" s="8">
        <v>23700</v>
      </c>
      <c r="E83" s="8">
        <v>19516</v>
      </c>
      <c r="F83" s="24">
        <f>G83</f>
        <v>19782</v>
      </c>
      <c r="G83" s="317">
        <v>19782</v>
      </c>
      <c r="H83" s="500"/>
      <c r="I83" s="393">
        <v>19823</v>
      </c>
      <c r="J83" s="8">
        <v>23007</v>
      </c>
      <c r="K83" s="8">
        <v>25256</v>
      </c>
      <c r="L83" s="24">
        <f>M83</f>
        <v>23034</v>
      </c>
      <c r="M83" s="317">
        <v>23034</v>
      </c>
      <c r="N83" s="500"/>
      <c r="O83" s="393">
        <v>27914</v>
      </c>
      <c r="P83" s="8">
        <v>30747</v>
      </c>
      <c r="Q83" s="8">
        <v>26986</v>
      </c>
      <c r="R83" s="24">
        <f t="shared" si="170"/>
        <v>23301</v>
      </c>
      <c r="S83" s="317">
        <v>23301</v>
      </c>
      <c r="T83" s="500"/>
      <c r="U83" s="393">
        <v>16231</v>
      </c>
      <c r="V83" s="8">
        <v>19129</v>
      </c>
      <c r="W83" s="8">
        <v>22324</v>
      </c>
      <c r="X83" s="24">
        <f t="shared" si="171"/>
        <v>26093</v>
      </c>
      <c r="Y83" s="317">
        <v>26093</v>
      </c>
      <c r="Z83" s="500"/>
      <c r="AA83" s="393">
        <v>26896</v>
      </c>
      <c r="AB83" s="8">
        <v>23865</v>
      </c>
      <c r="AC83" s="8">
        <v>23288</v>
      </c>
      <c r="AD83" s="24">
        <f t="shared" si="172"/>
        <v>25136</v>
      </c>
      <c r="AE83" s="317">
        <v>25136</v>
      </c>
      <c r="AF83" s="500"/>
      <c r="AG83" s="393">
        <v>26393</v>
      </c>
      <c r="AH83" s="8">
        <v>34551</v>
      </c>
      <c r="AI83" s="8">
        <v>36904</v>
      </c>
      <c r="AJ83" s="24">
        <f t="shared" si="173"/>
        <v>23123</v>
      </c>
      <c r="AK83" s="517">
        <v>23123</v>
      </c>
      <c r="AL83" s="540"/>
      <c r="AM83" s="5">
        <f>AK83</f>
        <v>23123</v>
      </c>
      <c r="AN83" s="5">
        <f t="shared" si="210"/>
        <v>23123</v>
      </c>
      <c r="AO83" s="5">
        <f t="shared" si="210"/>
        <v>23123</v>
      </c>
      <c r="AP83" s="5">
        <f t="shared" si="210"/>
        <v>23123</v>
      </c>
      <c r="AQ83" s="307">
        <f t="shared" si="167"/>
        <v>23123</v>
      </c>
      <c r="AS83" s="377">
        <f>AQ83</f>
        <v>23123</v>
      </c>
      <c r="AT83" s="5">
        <f t="shared" si="210"/>
        <v>23123</v>
      </c>
      <c r="AU83" s="5">
        <f t="shared" si="210"/>
        <v>23123</v>
      </c>
      <c r="AV83" s="5">
        <f t="shared" si="210"/>
        <v>23123</v>
      </c>
      <c r="AW83" s="307">
        <f t="shared" si="206"/>
        <v>23123</v>
      </c>
      <c r="AY83" s="377">
        <f>AW83</f>
        <v>23123</v>
      </c>
      <c r="AZ83" s="5">
        <f t="shared" si="210"/>
        <v>23123</v>
      </c>
      <c r="BA83" s="5">
        <f t="shared" si="210"/>
        <v>23123</v>
      </c>
      <c r="BB83" s="5">
        <f t="shared" si="210"/>
        <v>23123</v>
      </c>
      <c r="BC83" s="307">
        <f t="shared" si="207"/>
        <v>23123</v>
      </c>
      <c r="BE83" s="377">
        <f>BC83</f>
        <v>23123</v>
      </c>
      <c r="BF83" s="5">
        <f t="shared" si="210"/>
        <v>23123</v>
      </c>
      <c r="BG83" s="5">
        <f t="shared" si="210"/>
        <v>23123</v>
      </c>
      <c r="BH83" s="5">
        <f t="shared" si="210"/>
        <v>23123</v>
      </c>
      <c r="BI83" s="307">
        <f t="shared" si="208"/>
        <v>23123</v>
      </c>
      <c r="BK83" s="377">
        <f>BI83</f>
        <v>23123</v>
      </c>
      <c r="BL83" s="5">
        <f t="shared" si="210"/>
        <v>23123</v>
      </c>
      <c r="BM83" s="5">
        <f t="shared" si="210"/>
        <v>23123</v>
      </c>
      <c r="BN83" s="5">
        <f t="shared" si="210"/>
        <v>23123</v>
      </c>
      <c r="BO83" s="307">
        <f t="shared" si="209"/>
        <v>23123</v>
      </c>
    </row>
    <row r="84" spans="1:67">
      <c r="A84" s="467" t="s">
        <v>73</v>
      </c>
      <c r="C84" s="501">
        <v>0</v>
      </c>
      <c r="D84" s="24">
        <v>0</v>
      </c>
      <c r="E84" s="24">
        <v>0</v>
      </c>
      <c r="F84" s="24">
        <v>0</v>
      </c>
      <c r="G84" s="386">
        <v>0</v>
      </c>
      <c r="H84" s="500"/>
      <c r="I84" s="501">
        <v>0</v>
      </c>
      <c r="J84" s="24">
        <v>0</v>
      </c>
      <c r="K84" s="24">
        <v>0</v>
      </c>
      <c r="L84" s="24">
        <v>0</v>
      </c>
      <c r="M84" s="386">
        <v>0</v>
      </c>
      <c r="N84" s="500"/>
      <c r="O84" s="393">
        <v>43858</v>
      </c>
      <c r="P84" s="8">
        <v>42564</v>
      </c>
      <c r="Q84" s="8">
        <v>41364</v>
      </c>
      <c r="R84" s="24">
        <f t="shared" si="170"/>
        <v>40979</v>
      </c>
      <c r="S84" s="317">
        <v>40979</v>
      </c>
      <c r="T84" s="500"/>
      <c r="U84" s="393">
        <v>39998</v>
      </c>
      <c r="V84" s="8">
        <v>38620</v>
      </c>
      <c r="W84" s="8">
        <v>36814</v>
      </c>
      <c r="X84" s="24">
        <f t="shared" si="171"/>
        <v>36750</v>
      </c>
      <c r="Y84" s="317">
        <v>36750</v>
      </c>
      <c r="Z84" s="500"/>
      <c r="AA84" s="393">
        <v>35390</v>
      </c>
      <c r="AB84" s="8">
        <v>35074</v>
      </c>
      <c r="AC84" s="8">
        <v>36497</v>
      </c>
      <c r="AD84" s="24">
        <f t="shared" si="172"/>
        <v>47614</v>
      </c>
      <c r="AE84" s="317">
        <v>47614</v>
      </c>
      <c r="AF84" s="500"/>
      <c r="AG84" s="393">
        <v>47108</v>
      </c>
      <c r="AH84" s="8">
        <v>47176</v>
      </c>
      <c r="AI84" s="8">
        <v>47879</v>
      </c>
      <c r="AJ84" s="24">
        <f t="shared" si="173"/>
        <v>49532</v>
      </c>
      <c r="AK84" s="517">
        <v>49532</v>
      </c>
      <c r="AL84" s="540"/>
      <c r="AM84" s="5">
        <f>AK84</f>
        <v>49532</v>
      </c>
      <c r="AN84" s="5">
        <f t="shared" si="210"/>
        <v>49532</v>
      </c>
      <c r="AO84" s="5">
        <f t="shared" si="210"/>
        <v>49532</v>
      </c>
      <c r="AP84" s="5">
        <f t="shared" si="210"/>
        <v>49532</v>
      </c>
      <c r="AQ84" s="307">
        <f t="shared" si="167"/>
        <v>49532</v>
      </c>
      <c r="AS84" s="377">
        <f>AQ84</f>
        <v>49532</v>
      </c>
      <c r="AT84" s="5">
        <f t="shared" si="210"/>
        <v>49532</v>
      </c>
      <c r="AU84" s="5">
        <f t="shared" si="210"/>
        <v>49532</v>
      </c>
      <c r="AV84" s="5">
        <f t="shared" si="210"/>
        <v>49532</v>
      </c>
      <c r="AW84" s="307">
        <f t="shared" si="206"/>
        <v>49532</v>
      </c>
      <c r="AY84" s="377">
        <f>AW84</f>
        <v>49532</v>
      </c>
      <c r="AZ84" s="5">
        <f t="shared" si="210"/>
        <v>49532</v>
      </c>
      <c r="BA84" s="5">
        <f t="shared" si="210"/>
        <v>49532</v>
      </c>
      <c r="BB84" s="5">
        <f t="shared" si="210"/>
        <v>49532</v>
      </c>
      <c r="BC84" s="307">
        <f t="shared" si="207"/>
        <v>49532</v>
      </c>
      <c r="BE84" s="377">
        <f>BC84</f>
        <v>49532</v>
      </c>
      <c r="BF84" s="5">
        <f t="shared" si="210"/>
        <v>49532</v>
      </c>
      <c r="BG84" s="5">
        <f t="shared" si="210"/>
        <v>49532</v>
      </c>
      <c r="BH84" s="5">
        <f t="shared" si="210"/>
        <v>49532</v>
      </c>
      <c r="BI84" s="307">
        <f t="shared" si="208"/>
        <v>49532</v>
      </c>
      <c r="BK84" s="377">
        <f>BI84</f>
        <v>49532</v>
      </c>
      <c r="BL84" s="5">
        <f t="shared" si="210"/>
        <v>49532</v>
      </c>
      <c r="BM84" s="5">
        <f t="shared" si="210"/>
        <v>49532</v>
      </c>
      <c r="BN84" s="5">
        <f t="shared" si="210"/>
        <v>49532</v>
      </c>
      <c r="BO84" s="307">
        <f t="shared" si="209"/>
        <v>49532</v>
      </c>
    </row>
    <row r="85" spans="1:67" ht="15">
      <c r="A85" s="456" t="s">
        <v>59</v>
      </c>
      <c r="C85" s="347">
        <f>SUM(C79:C84)</f>
        <v>488581</v>
      </c>
      <c r="D85" s="9">
        <f t="shared" ref="D85:BN85" si="212">SUM(D79:D84)</f>
        <v>619300</v>
      </c>
      <c r="E85" s="9">
        <f t="shared" si="212"/>
        <v>529540</v>
      </c>
      <c r="F85" s="9">
        <f t="shared" si="212"/>
        <v>503817</v>
      </c>
      <c r="G85" s="296">
        <f t="shared" si="212"/>
        <v>503817</v>
      </c>
      <c r="H85" s="500"/>
      <c r="I85" s="347">
        <f t="shared" si="212"/>
        <v>524684</v>
      </c>
      <c r="J85" s="9">
        <f t="shared" si="212"/>
        <v>543668</v>
      </c>
      <c r="K85" s="9">
        <f t="shared" si="212"/>
        <v>576300</v>
      </c>
      <c r="L85" s="9">
        <f t="shared" si="212"/>
        <v>602278</v>
      </c>
      <c r="M85" s="296">
        <f t="shared" si="212"/>
        <v>602278</v>
      </c>
      <c r="N85" s="500"/>
      <c r="O85" s="347">
        <f t="shared" si="212"/>
        <v>597510</v>
      </c>
      <c r="P85" s="9">
        <f t="shared" si="212"/>
        <v>633690</v>
      </c>
      <c r="Q85" s="9">
        <f t="shared" si="212"/>
        <v>680042</v>
      </c>
      <c r="R85" s="9">
        <f t="shared" si="212"/>
        <v>720100</v>
      </c>
      <c r="S85" s="296">
        <f t="shared" si="212"/>
        <v>720100</v>
      </c>
      <c r="T85" s="500"/>
      <c r="U85" s="347">
        <f t="shared" si="212"/>
        <v>658412</v>
      </c>
      <c r="V85" s="9">
        <f t="shared" si="212"/>
        <v>604940</v>
      </c>
      <c r="W85" s="9">
        <f t="shared" si="212"/>
        <v>641061</v>
      </c>
      <c r="X85" s="9">
        <f t="shared" si="212"/>
        <v>636145</v>
      </c>
      <c r="Y85" s="296">
        <f t="shared" si="212"/>
        <v>636145</v>
      </c>
      <c r="Z85" s="500"/>
      <c r="AA85" s="347">
        <f t="shared" si="212"/>
        <v>650553</v>
      </c>
      <c r="AB85" s="9">
        <f t="shared" si="212"/>
        <v>711069</v>
      </c>
      <c r="AC85" s="9">
        <f t="shared" si="212"/>
        <v>739901</v>
      </c>
      <c r="AD85" s="9">
        <f t="shared" si="212"/>
        <v>925314</v>
      </c>
      <c r="AE85" s="296">
        <f t="shared" si="212"/>
        <v>925314</v>
      </c>
      <c r="AF85" s="500"/>
      <c r="AG85" s="347">
        <f t="shared" si="212"/>
        <v>914139</v>
      </c>
      <c r="AH85" s="9">
        <f t="shared" si="212"/>
        <v>990058</v>
      </c>
      <c r="AI85" s="9">
        <f t="shared" si="212"/>
        <v>1017913</v>
      </c>
      <c r="AJ85" s="9">
        <f t="shared" si="212"/>
        <v>1020094</v>
      </c>
      <c r="AK85" s="506">
        <f t="shared" si="212"/>
        <v>1020094</v>
      </c>
      <c r="AL85" s="540"/>
      <c r="AM85" s="14">
        <f>SUM(AM79:AM84)</f>
        <v>978303.88628960028</v>
      </c>
      <c r="AN85" s="14">
        <f t="shared" si="212"/>
        <v>1052070.2627115103</v>
      </c>
      <c r="AO85" s="14">
        <f t="shared" si="212"/>
        <v>1029027.0611504668</v>
      </c>
      <c r="AP85" s="14">
        <f t="shared" si="212"/>
        <v>998625.99201011087</v>
      </c>
      <c r="AQ85" s="367">
        <f t="shared" si="167"/>
        <v>998625.99201011087</v>
      </c>
      <c r="AS85" s="376">
        <f t="shared" si="212"/>
        <v>996986.46087798744</v>
      </c>
      <c r="AT85" s="14">
        <f t="shared" si="212"/>
        <v>1072992.5944026008</v>
      </c>
      <c r="AU85" s="14">
        <f t="shared" si="212"/>
        <v>1080192.9887615002</v>
      </c>
      <c r="AV85" s="14">
        <f t="shared" si="212"/>
        <v>1055439.8553811139</v>
      </c>
      <c r="AW85" s="367">
        <f t="shared" si="206"/>
        <v>1055439.8553811139</v>
      </c>
      <c r="AY85" s="376">
        <f t="shared" si="212"/>
        <v>1053214.4440306737</v>
      </c>
      <c r="AZ85" s="14">
        <f t="shared" si="212"/>
        <v>1136396.4803199396</v>
      </c>
      <c r="BA85" s="14">
        <f t="shared" si="212"/>
        <v>1140141.4768029116</v>
      </c>
      <c r="BB85" s="14">
        <f t="shared" si="212"/>
        <v>1116136.3461866253</v>
      </c>
      <c r="BC85" s="367">
        <f t="shared" si="207"/>
        <v>1116136.3461866253</v>
      </c>
      <c r="BE85" s="376">
        <f t="shared" si="212"/>
        <v>1123475.1584361542</v>
      </c>
      <c r="BF85" s="14">
        <f t="shared" si="212"/>
        <v>1236069.0269824811</v>
      </c>
      <c r="BG85" s="14">
        <f t="shared" si="212"/>
        <v>1225422.4603435462</v>
      </c>
      <c r="BH85" s="14">
        <f t="shared" si="212"/>
        <v>1199301.9962377269</v>
      </c>
      <c r="BI85" s="367">
        <f t="shared" si="208"/>
        <v>1199301.9962377269</v>
      </c>
      <c r="BK85" s="376">
        <f t="shared" si="212"/>
        <v>1224154.8459299309</v>
      </c>
      <c r="BL85" s="14">
        <f t="shared" si="212"/>
        <v>1379422.7164175389</v>
      </c>
      <c r="BM85" s="14">
        <f t="shared" si="212"/>
        <v>1351722.7205281944</v>
      </c>
      <c r="BN85" s="14">
        <f t="shared" si="212"/>
        <v>1300892.2153431769</v>
      </c>
      <c r="BO85" s="367">
        <f t="shared" si="209"/>
        <v>1300892.2153431769</v>
      </c>
    </row>
    <row r="86" spans="1:67">
      <c r="A86" s="466" t="s">
        <v>60</v>
      </c>
      <c r="C86" s="501"/>
      <c r="D86" s="24"/>
      <c r="E86" s="24"/>
      <c r="F86" s="24"/>
      <c r="G86" s="386"/>
      <c r="H86" s="500"/>
      <c r="I86" s="501"/>
      <c r="J86" s="24"/>
      <c r="K86" s="24"/>
      <c r="L86" s="24"/>
      <c r="M86" s="386"/>
      <c r="N86" s="500"/>
      <c r="O86" s="501"/>
      <c r="P86" s="24"/>
      <c r="Q86" s="24"/>
      <c r="R86" s="24"/>
      <c r="S86" s="386"/>
      <c r="T86" s="500"/>
      <c r="U86" s="501"/>
      <c r="V86" s="24"/>
      <c r="W86" s="24"/>
      <c r="X86" s="24"/>
      <c r="Y86" s="386"/>
      <c r="Z86" s="500"/>
      <c r="AA86" s="501"/>
      <c r="AB86" s="24"/>
      <c r="AC86" s="24"/>
      <c r="AD86" s="24"/>
      <c r="AE86" s="386"/>
      <c r="AF86" s="500"/>
      <c r="AG86" s="501"/>
      <c r="AH86" s="16" t="s">
        <v>36</v>
      </c>
      <c r="AI86" s="16" t="s">
        <v>36</v>
      </c>
      <c r="AJ86" s="24" t="str">
        <f t="shared" si="173"/>
        <v> </v>
      </c>
      <c r="AK86" s="524" t="s">
        <v>36</v>
      </c>
      <c r="AL86" s="540"/>
      <c r="AM86" s="5"/>
      <c r="AN86" s="5"/>
      <c r="AO86" s="5"/>
      <c r="AP86" s="5"/>
      <c r="AQ86" s="307">
        <f t="shared" si="167"/>
        <v>0</v>
      </c>
      <c r="AS86" s="377"/>
      <c r="AT86" s="5"/>
      <c r="AU86" s="5"/>
      <c r="AV86" s="5"/>
      <c r="AW86" s="307">
        <f t="shared" si="206"/>
        <v>0</v>
      </c>
      <c r="AY86" s="377"/>
      <c r="AZ86" s="5"/>
      <c r="BA86" s="5"/>
      <c r="BB86" s="5"/>
      <c r="BC86" s="307">
        <f t="shared" si="207"/>
        <v>0</v>
      </c>
      <c r="BE86" s="377"/>
      <c r="BF86" s="5"/>
      <c r="BG86" s="5"/>
      <c r="BH86" s="5"/>
      <c r="BI86" s="307">
        <f t="shared" si="208"/>
        <v>0</v>
      </c>
      <c r="BK86" s="377"/>
      <c r="BL86" s="5"/>
      <c r="BM86" s="5"/>
      <c r="BN86" s="5"/>
      <c r="BO86" s="307">
        <f t="shared" si="209"/>
        <v>0</v>
      </c>
    </row>
    <row r="87" spans="1:67">
      <c r="A87" s="467" t="s">
        <v>61</v>
      </c>
      <c r="C87" s="393">
        <v>54332</v>
      </c>
      <c r="D87" s="8">
        <v>53048</v>
      </c>
      <c r="E87" s="8">
        <v>55762</v>
      </c>
      <c r="F87" s="24">
        <f>G87</f>
        <v>54593</v>
      </c>
      <c r="G87" s="317">
        <v>54593</v>
      </c>
      <c r="H87" s="500"/>
      <c r="I87" s="393">
        <v>58561</v>
      </c>
      <c r="J87" s="8">
        <v>58990</v>
      </c>
      <c r="K87" s="8">
        <v>57805</v>
      </c>
      <c r="L87" s="24">
        <f>M87</f>
        <v>60339</v>
      </c>
      <c r="M87" s="317">
        <v>60339</v>
      </c>
      <c r="N87" s="500"/>
      <c r="O87" s="393">
        <v>62084</v>
      </c>
      <c r="P87" s="8">
        <v>62339</v>
      </c>
      <c r="Q87" s="8">
        <v>64263</v>
      </c>
      <c r="R87" s="24">
        <f t="shared" si="170"/>
        <v>68368</v>
      </c>
      <c r="S87" s="317">
        <v>68368</v>
      </c>
      <c r="T87" s="500"/>
      <c r="U87" s="393">
        <v>76106</v>
      </c>
      <c r="V87" s="8">
        <v>76933</v>
      </c>
      <c r="W87" s="8">
        <v>77070</v>
      </c>
      <c r="X87" s="24">
        <f t="shared" si="171"/>
        <v>74023</v>
      </c>
      <c r="Y87" s="317">
        <v>74023</v>
      </c>
      <c r="Z87" s="500"/>
      <c r="AA87" s="393">
        <v>79218</v>
      </c>
      <c r="AB87" s="8">
        <v>83742</v>
      </c>
      <c r="AC87" s="8">
        <v>82809</v>
      </c>
      <c r="AD87" s="24">
        <f t="shared" si="172"/>
        <v>87088</v>
      </c>
      <c r="AE87" s="317">
        <v>87088</v>
      </c>
      <c r="AF87" s="500"/>
      <c r="AG87" s="393">
        <v>92891</v>
      </c>
      <c r="AH87" s="8">
        <v>90618</v>
      </c>
      <c r="AI87" s="8">
        <v>89399</v>
      </c>
      <c r="AJ87" s="24">
        <f t="shared" si="173"/>
        <v>105596</v>
      </c>
      <c r="AK87" s="517">
        <v>105596</v>
      </c>
      <c r="AL87" s="540"/>
      <c r="AM87" s="5">
        <f>AK87</f>
        <v>105596</v>
      </c>
      <c r="AN87" s="5">
        <f t="shared" ref="AN87:BN87" si="213">AM87</f>
        <v>105596</v>
      </c>
      <c r="AO87" s="5">
        <f t="shared" si="213"/>
        <v>105596</v>
      </c>
      <c r="AP87" s="5">
        <f t="shared" si="213"/>
        <v>105596</v>
      </c>
      <c r="AQ87" s="307">
        <f t="shared" si="167"/>
        <v>105596</v>
      </c>
      <c r="AS87" s="377">
        <f>AQ87</f>
        <v>105596</v>
      </c>
      <c r="AT87" s="5">
        <f t="shared" si="213"/>
        <v>105596</v>
      </c>
      <c r="AU87" s="5">
        <f t="shared" si="213"/>
        <v>105596</v>
      </c>
      <c r="AV87" s="5">
        <f t="shared" si="213"/>
        <v>105596</v>
      </c>
      <c r="AW87" s="307">
        <f t="shared" si="206"/>
        <v>105596</v>
      </c>
      <c r="AY87" s="377">
        <f>AW87</f>
        <v>105596</v>
      </c>
      <c r="AZ87" s="5">
        <f t="shared" si="213"/>
        <v>105596</v>
      </c>
      <c r="BA87" s="5">
        <f t="shared" si="213"/>
        <v>105596</v>
      </c>
      <c r="BB87" s="5">
        <f t="shared" si="213"/>
        <v>105596</v>
      </c>
      <c r="BC87" s="307">
        <f t="shared" si="207"/>
        <v>105596</v>
      </c>
      <c r="BE87" s="377">
        <f>BC87</f>
        <v>105596</v>
      </c>
      <c r="BF87" s="5">
        <f t="shared" si="213"/>
        <v>105596</v>
      </c>
      <c r="BG87" s="5">
        <f t="shared" si="213"/>
        <v>105596</v>
      </c>
      <c r="BH87" s="5">
        <f t="shared" si="213"/>
        <v>105596</v>
      </c>
      <c r="BI87" s="307">
        <f t="shared" si="208"/>
        <v>105596</v>
      </c>
      <c r="BK87" s="377">
        <f>BI87</f>
        <v>105596</v>
      </c>
      <c r="BL87" s="5">
        <f t="shared" si="213"/>
        <v>105596</v>
      </c>
      <c r="BM87" s="5">
        <f t="shared" si="213"/>
        <v>105596</v>
      </c>
      <c r="BN87" s="5">
        <f t="shared" si="213"/>
        <v>105596</v>
      </c>
      <c r="BO87" s="307">
        <f t="shared" si="209"/>
        <v>105596</v>
      </c>
    </row>
    <row r="88" spans="1:67">
      <c r="A88" s="467" t="s">
        <v>62</v>
      </c>
      <c r="C88" s="393">
        <v>111057</v>
      </c>
      <c r="D88" s="8">
        <v>109204</v>
      </c>
      <c r="E88" s="8">
        <v>110074</v>
      </c>
      <c r="F88" s="24">
        <f>G88</f>
        <v>111130</v>
      </c>
      <c r="G88" s="317">
        <v>111130</v>
      </c>
      <c r="H88" s="500"/>
      <c r="I88" s="393">
        <v>108143</v>
      </c>
      <c r="J88" s="8">
        <v>104782</v>
      </c>
      <c r="K88" s="8">
        <v>105032</v>
      </c>
      <c r="L88" s="24">
        <f>M88</f>
        <v>107575</v>
      </c>
      <c r="M88" s="317">
        <v>107575</v>
      </c>
      <c r="N88" s="500"/>
      <c r="O88" s="393">
        <v>103384</v>
      </c>
      <c r="P88" s="8">
        <v>101019</v>
      </c>
      <c r="Q88" s="8">
        <v>100179</v>
      </c>
      <c r="R88" s="24">
        <f t="shared" si="170"/>
        <v>98155</v>
      </c>
      <c r="S88" s="317">
        <v>98155</v>
      </c>
      <c r="T88" s="500"/>
      <c r="U88" s="393">
        <v>98966</v>
      </c>
      <c r="V88" s="8">
        <v>99062</v>
      </c>
      <c r="W88" s="8">
        <v>100389</v>
      </c>
      <c r="X88" s="24">
        <f t="shared" si="171"/>
        <v>102623</v>
      </c>
      <c r="Y88" s="317">
        <v>102623</v>
      </c>
      <c r="Z88" s="500"/>
      <c r="AA88" s="393">
        <v>99239</v>
      </c>
      <c r="AB88" s="8">
        <v>98341</v>
      </c>
      <c r="AC88" s="8">
        <v>97747</v>
      </c>
      <c r="AD88" s="24">
        <f t="shared" si="172"/>
        <v>98752</v>
      </c>
      <c r="AE88" s="317">
        <v>98752</v>
      </c>
      <c r="AF88" s="500"/>
      <c r="AG88" s="393">
        <v>106144</v>
      </c>
      <c r="AH88" s="8">
        <v>101484</v>
      </c>
      <c r="AI88" s="8">
        <v>97737</v>
      </c>
      <c r="AJ88" s="24">
        <f t="shared" si="173"/>
        <v>106372</v>
      </c>
      <c r="AK88" s="517">
        <v>106372</v>
      </c>
      <c r="AL88" s="540"/>
      <c r="AM88" s="5">
        <f>AK88</f>
        <v>106372</v>
      </c>
      <c r="AN88" s="5">
        <f t="shared" ref="AN88:BN88" si="214">AM88</f>
        <v>106372</v>
      </c>
      <c r="AO88" s="5">
        <f t="shared" si="214"/>
        <v>106372</v>
      </c>
      <c r="AP88" s="5">
        <f t="shared" si="214"/>
        <v>106372</v>
      </c>
      <c r="AQ88" s="307">
        <f t="shared" si="167"/>
        <v>106372</v>
      </c>
      <c r="AS88" s="377">
        <f>AQ88</f>
        <v>106372</v>
      </c>
      <c r="AT88" s="5">
        <f t="shared" si="214"/>
        <v>106372</v>
      </c>
      <c r="AU88" s="5">
        <f t="shared" si="214"/>
        <v>106372</v>
      </c>
      <c r="AV88" s="5">
        <f t="shared" si="214"/>
        <v>106372</v>
      </c>
      <c r="AW88" s="307">
        <f t="shared" si="206"/>
        <v>106372</v>
      </c>
      <c r="AY88" s="377">
        <f>AW88</f>
        <v>106372</v>
      </c>
      <c r="AZ88" s="5">
        <f t="shared" si="214"/>
        <v>106372</v>
      </c>
      <c r="BA88" s="5">
        <f t="shared" si="214"/>
        <v>106372</v>
      </c>
      <c r="BB88" s="5">
        <f t="shared" si="214"/>
        <v>106372</v>
      </c>
      <c r="BC88" s="307">
        <f t="shared" si="207"/>
        <v>106372</v>
      </c>
      <c r="BE88" s="377">
        <f>BC88</f>
        <v>106372</v>
      </c>
      <c r="BF88" s="5">
        <f t="shared" si="214"/>
        <v>106372</v>
      </c>
      <c r="BG88" s="5">
        <f t="shared" si="214"/>
        <v>106372</v>
      </c>
      <c r="BH88" s="5">
        <f t="shared" si="214"/>
        <v>106372</v>
      </c>
      <c r="BI88" s="307">
        <f t="shared" si="208"/>
        <v>106372</v>
      </c>
      <c r="BK88" s="377">
        <f>BI88</f>
        <v>106372</v>
      </c>
      <c r="BL88" s="5">
        <f t="shared" si="214"/>
        <v>106372</v>
      </c>
      <c r="BM88" s="5">
        <f t="shared" si="214"/>
        <v>106372</v>
      </c>
      <c r="BN88" s="5">
        <f t="shared" si="214"/>
        <v>106372</v>
      </c>
      <c r="BO88" s="307">
        <f t="shared" si="209"/>
        <v>106372</v>
      </c>
    </row>
    <row r="89" spans="1:67">
      <c r="A89" s="467" t="s">
        <v>78</v>
      </c>
      <c r="C89" s="393">
        <v>1633968</v>
      </c>
      <c r="D89" s="8">
        <v>1626505</v>
      </c>
      <c r="E89" s="8">
        <v>1625971</v>
      </c>
      <c r="F89" s="24">
        <f>G89</f>
        <v>1625537</v>
      </c>
      <c r="G89" s="317">
        <v>1625537</v>
      </c>
      <c r="H89" s="500"/>
      <c r="I89" s="393">
        <v>1625259</v>
      </c>
      <c r="J89" s="8">
        <v>1624727</v>
      </c>
      <c r="K89" s="8">
        <v>1616156</v>
      </c>
      <c r="L89" s="24">
        <f>M89</f>
        <v>1565021</v>
      </c>
      <c r="M89" s="317">
        <v>1565021</v>
      </c>
      <c r="N89" s="500"/>
      <c r="O89" s="393">
        <v>1564005</v>
      </c>
      <c r="P89" s="8">
        <v>1562989</v>
      </c>
      <c r="Q89" s="8">
        <v>1555257</v>
      </c>
      <c r="R89" s="24">
        <f t="shared" si="170"/>
        <v>1554116</v>
      </c>
      <c r="S89" s="317">
        <v>1554116</v>
      </c>
      <c r="T89" s="500"/>
      <c r="U89" s="393">
        <v>1702992</v>
      </c>
      <c r="V89" s="8">
        <v>1626871</v>
      </c>
      <c r="W89" s="8">
        <v>1550756</v>
      </c>
      <c r="X89" s="24">
        <f t="shared" si="171"/>
        <v>1549641</v>
      </c>
      <c r="Y89" s="317">
        <v>1549641</v>
      </c>
      <c r="Z89" s="500"/>
      <c r="AA89" s="393">
        <v>1548517</v>
      </c>
      <c r="AB89" s="8">
        <v>1547398</v>
      </c>
      <c r="AC89" s="8">
        <v>1546284</v>
      </c>
      <c r="AD89" s="24">
        <f t="shared" si="172"/>
        <v>2517024</v>
      </c>
      <c r="AE89" s="317">
        <v>2517024</v>
      </c>
      <c r="AF89" s="500"/>
      <c r="AG89" s="393">
        <v>2513944</v>
      </c>
      <c r="AH89" s="8">
        <v>2510963</v>
      </c>
      <c r="AI89" s="8">
        <v>2507946</v>
      </c>
      <c r="AJ89" s="24">
        <f t="shared" si="173"/>
        <v>2414828</v>
      </c>
      <c r="AK89" s="517">
        <v>2414828</v>
      </c>
      <c r="AL89" s="540"/>
      <c r="AM89" s="8">
        <f>AM150</f>
        <v>2406865.1045869472</v>
      </c>
      <c r="AN89" s="8">
        <f>AN150</f>
        <v>2395578.6856340603</v>
      </c>
      <c r="AO89" s="8">
        <f>AO150</f>
        <v>2384478.7541923346</v>
      </c>
      <c r="AP89" s="8">
        <f>AP150</f>
        <v>2375565.9831156121</v>
      </c>
      <c r="AQ89" s="307">
        <f t="shared" si="167"/>
        <v>2375565.9831156121</v>
      </c>
      <c r="AS89" s="393">
        <f>AS150</f>
        <v>2351605.5246724305</v>
      </c>
      <c r="AT89" s="8">
        <f>AT150</f>
        <v>2338670.9787458093</v>
      </c>
      <c r="AU89" s="8">
        <f>AU150</f>
        <v>2326004.4585945797</v>
      </c>
      <c r="AV89" s="8">
        <f>AV150</f>
        <v>2315736.1104564979</v>
      </c>
      <c r="AW89" s="307">
        <f t="shared" si="206"/>
        <v>2315736.1104564979</v>
      </c>
      <c r="AY89" s="393">
        <f>AY150</f>
        <v>2288534.7095923456</v>
      </c>
      <c r="AZ89" s="8">
        <f>AZ150</f>
        <v>2274926.8464343622</v>
      </c>
      <c r="BA89" s="8">
        <f>BA150</f>
        <v>2261674.1136302808</v>
      </c>
      <c r="BB89" s="8">
        <f>BB150</f>
        <v>2249714.3958600117</v>
      </c>
      <c r="BC89" s="307">
        <f t="shared" si="207"/>
        <v>2249714.3958600117</v>
      </c>
      <c r="BE89" s="393">
        <f>BE150</f>
        <v>2219754.2891994189</v>
      </c>
      <c r="BF89" s="8">
        <f>BF150</f>
        <v>2203260.1859431854</v>
      </c>
      <c r="BG89" s="8">
        <f>BG150</f>
        <v>2187648.2653854694</v>
      </c>
      <c r="BH89" s="8">
        <f>BH150</f>
        <v>2173624.1641173069</v>
      </c>
      <c r="BI89" s="307">
        <f t="shared" si="208"/>
        <v>2173624.1641173069</v>
      </c>
      <c r="BK89" s="393">
        <f>BK150</f>
        <v>2138644.1640646295</v>
      </c>
      <c r="BL89" s="8">
        <f>BL150</f>
        <v>2119872.6271409909</v>
      </c>
      <c r="BM89" s="8">
        <f>BM150</f>
        <v>2102223.2362984922</v>
      </c>
      <c r="BN89" s="8">
        <f>BN150</f>
        <v>2087686.8991533022</v>
      </c>
      <c r="BO89" s="307">
        <f t="shared" si="209"/>
        <v>2087686.8991533022</v>
      </c>
    </row>
    <row r="90" spans="1:67">
      <c r="A90" s="467" t="s">
        <v>74</v>
      </c>
      <c r="C90" s="501">
        <v>0</v>
      </c>
      <c r="D90" s="24">
        <v>0</v>
      </c>
      <c r="E90" s="24">
        <v>0</v>
      </c>
      <c r="F90" s="24">
        <v>0</v>
      </c>
      <c r="G90" s="386">
        <v>0</v>
      </c>
      <c r="H90" s="500"/>
      <c r="I90" s="501">
        <v>0</v>
      </c>
      <c r="J90" s="24">
        <v>0</v>
      </c>
      <c r="K90" s="24">
        <v>0</v>
      </c>
      <c r="L90" s="24">
        <v>0</v>
      </c>
      <c r="M90" s="386">
        <v>0</v>
      </c>
      <c r="N90" s="500"/>
      <c r="O90" s="393">
        <v>128689</v>
      </c>
      <c r="P90" s="8">
        <v>130704</v>
      </c>
      <c r="Q90" s="8">
        <v>122668</v>
      </c>
      <c r="R90" s="24">
        <f t="shared" si="170"/>
        <v>121020</v>
      </c>
      <c r="S90" s="317">
        <v>121020</v>
      </c>
      <c r="T90" s="500"/>
      <c r="U90" s="393">
        <v>120649</v>
      </c>
      <c r="V90" s="8">
        <v>115089</v>
      </c>
      <c r="W90" s="8">
        <v>110097</v>
      </c>
      <c r="X90" s="24">
        <f t="shared" si="171"/>
        <v>114258</v>
      </c>
      <c r="Y90" s="317">
        <v>114258</v>
      </c>
      <c r="Z90" s="500"/>
      <c r="AA90" s="393">
        <v>107554</v>
      </c>
      <c r="AB90" s="8">
        <v>101377</v>
      </c>
      <c r="AC90" s="8">
        <v>102093</v>
      </c>
      <c r="AD90" s="24">
        <f t="shared" si="172"/>
        <v>117991</v>
      </c>
      <c r="AE90" s="317">
        <v>117991</v>
      </c>
      <c r="AF90" s="500"/>
      <c r="AG90" s="393">
        <v>113059</v>
      </c>
      <c r="AH90" s="8">
        <v>112854</v>
      </c>
      <c r="AI90" s="8">
        <v>116607</v>
      </c>
      <c r="AJ90" s="24">
        <f t="shared" si="173"/>
        <v>119259</v>
      </c>
      <c r="AK90" s="517">
        <v>119259</v>
      </c>
      <c r="AL90" s="540"/>
      <c r="AM90" s="5">
        <f>AK90</f>
        <v>119259</v>
      </c>
      <c r="AN90" s="5">
        <f t="shared" ref="AN90:BN92" si="215">AM90</f>
        <v>119259</v>
      </c>
      <c r="AO90" s="5">
        <f t="shared" si="215"/>
        <v>119259</v>
      </c>
      <c r="AP90" s="5">
        <f t="shared" si="215"/>
        <v>119259</v>
      </c>
      <c r="AQ90" s="307">
        <f t="shared" si="167"/>
        <v>119259</v>
      </c>
      <c r="AS90" s="377">
        <f>AQ90</f>
        <v>119259</v>
      </c>
      <c r="AT90" s="5">
        <f t="shared" si="215"/>
        <v>119259</v>
      </c>
      <c r="AU90" s="5">
        <f t="shared" si="215"/>
        <v>119259</v>
      </c>
      <c r="AV90" s="5">
        <f t="shared" si="215"/>
        <v>119259</v>
      </c>
      <c r="AW90" s="307">
        <f t="shared" si="206"/>
        <v>119259</v>
      </c>
      <c r="AY90" s="377">
        <f>AW90</f>
        <v>119259</v>
      </c>
      <c r="AZ90" s="5">
        <f t="shared" si="215"/>
        <v>119259</v>
      </c>
      <c r="BA90" s="5">
        <f t="shared" si="215"/>
        <v>119259</v>
      </c>
      <c r="BB90" s="5">
        <f t="shared" si="215"/>
        <v>119259</v>
      </c>
      <c r="BC90" s="307">
        <f t="shared" si="207"/>
        <v>119259</v>
      </c>
      <c r="BE90" s="377">
        <f>BC90</f>
        <v>119259</v>
      </c>
      <c r="BF90" s="5">
        <f t="shared" si="215"/>
        <v>119259</v>
      </c>
      <c r="BG90" s="5">
        <f t="shared" si="215"/>
        <v>119259</v>
      </c>
      <c r="BH90" s="5">
        <f t="shared" si="215"/>
        <v>119259</v>
      </c>
      <c r="BI90" s="307">
        <f t="shared" si="208"/>
        <v>119259</v>
      </c>
      <c r="BK90" s="377">
        <f>BI90</f>
        <v>119259</v>
      </c>
      <c r="BL90" s="5">
        <f t="shared" si="215"/>
        <v>119259</v>
      </c>
      <c r="BM90" s="5">
        <f t="shared" si="215"/>
        <v>119259</v>
      </c>
      <c r="BN90" s="5">
        <f t="shared" si="215"/>
        <v>119259</v>
      </c>
      <c r="BO90" s="307">
        <f t="shared" si="209"/>
        <v>119259</v>
      </c>
    </row>
    <row r="91" spans="1:67">
      <c r="A91" s="467" t="s">
        <v>77</v>
      </c>
      <c r="C91" s="393">
        <v>294085</v>
      </c>
      <c r="D91" s="8">
        <v>297288</v>
      </c>
      <c r="E91" s="8">
        <v>298659</v>
      </c>
      <c r="F91" s="24">
        <f>G91</f>
        <v>223291</v>
      </c>
      <c r="G91" s="317">
        <v>223291</v>
      </c>
      <c r="H91" s="500"/>
      <c r="I91" s="393">
        <v>222643</v>
      </c>
      <c r="J91" s="8">
        <v>222246</v>
      </c>
      <c r="K91" s="8">
        <v>221712</v>
      </c>
      <c r="L91" s="24">
        <f>M91</f>
        <v>233352</v>
      </c>
      <c r="M91" s="317">
        <v>233352</v>
      </c>
      <c r="N91" s="500"/>
      <c r="O91" s="393">
        <v>254417</v>
      </c>
      <c r="P91" s="8">
        <v>255113</v>
      </c>
      <c r="Q91" s="8">
        <v>263658</v>
      </c>
      <c r="R91" s="24">
        <f t="shared" si="170"/>
        <v>277332</v>
      </c>
      <c r="S91" s="317">
        <v>277332</v>
      </c>
      <c r="T91" s="500"/>
      <c r="U91" s="393">
        <v>269091</v>
      </c>
      <c r="V91" s="8">
        <v>300763</v>
      </c>
      <c r="W91" s="8">
        <v>322099</v>
      </c>
      <c r="X91" s="24">
        <f t="shared" si="171"/>
        <v>230097</v>
      </c>
      <c r="Y91" s="317">
        <v>230097</v>
      </c>
      <c r="Z91" s="500"/>
      <c r="AA91" s="393">
        <v>230236</v>
      </c>
      <c r="AB91" s="8">
        <v>228718</v>
      </c>
      <c r="AC91" s="8">
        <v>231663</v>
      </c>
      <c r="AD91" s="24">
        <f t="shared" si="172"/>
        <v>314853</v>
      </c>
      <c r="AE91" s="317">
        <v>314853</v>
      </c>
      <c r="AF91" s="500"/>
      <c r="AG91" s="393">
        <v>312668</v>
      </c>
      <c r="AH91" s="8">
        <v>322108</v>
      </c>
      <c r="AI91" s="8">
        <v>326842</v>
      </c>
      <c r="AJ91" s="24">
        <f t="shared" si="173"/>
        <v>350389</v>
      </c>
      <c r="AK91" s="517">
        <v>350389</v>
      </c>
      <c r="AL91" s="540"/>
      <c r="AM91" s="5">
        <f>AK91</f>
        <v>350389</v>
      </c>
      <c r="AN91" s="5">
        <f t="shared" ref="AN91:BB91" si="216">AM91</f>
        <v>350389</v>
      </c>
      <c r="AO91" s="5">
        <f t="shared" si="216"/>
        <v>350389</v>
      </c>
      <c r="AP91" s="5">
        <f t="shared" si="216"/>
        <v>350389</v>
      </c>
      <c r="AQ91" s="307">
        <f t="shared" si="167"/>
        <v>350389</v>
      </c>
      <c r="AS91" s="377">
        <f>AQ91</f>
        <v>350389</v>
      </c>
      <c r="AT91" s="5">
        <f t="shared" si="216"/>
        <v>350389</v>
      </c>
      <c r="AU91" s="5">
        <f t="shared" si="216"/>
        <v>350389</v>
      </c>
      <c r="AV91" s="5">
        <f t="shared" si="216"/>
        <v>350389</v>
      </c>
      <c r="AW91" s="307">
        <f t="shared" si="206"/>
        <v>350389</v>
      </c>
      <c r="AY91" s="377">
        <f>AW91</f>
        <v>350389</v>
      </c>
      <c r="AZ91" s="5">
        <f t="shared" si="216"/>
        <v>350389</v>
      </c>
      <c r="BA91" s="5">
        <f t="shared" si="216"/>
        <v>350389</v>
      </c>
      <c r="BB91" s="5">
        <f t="shared" si="216"/>
        <v>350389</v>
      </c>
      <c r="BC91" s="307">
        <f t="shared" si="207"/>
        <v>350389</v>
      </c>
      <c r="BE91" s="377">
        <f>BC91</f>
        <v>350389</v>
      </c>
      <c r="BF91" s="5">
        <f t="shared" si="215"/>
        <v>350389</v>
      </c>
      <c r="BG91" s="5">
        <f t="shared" si="215"/>
        <v>350389</v>
      </c>
      <c r="BH91" s="5">
        <f t="shared" si="215"/>
        <v>350389</v>
      </c>
      <c r="BI91" s="307">
        <f t="shared" si="208"/>
        <v>350389</v>
      </c>
      <c r="BK91" s="377">
        <f>BI91</f>
        <v>350389</v>
      </c>
      <c r="BL91" s="5">
        <f t="shared" si="215"/>
        <v>350389</v>
      </c>
      <c r="BM91" s="5">
        <f t="shared" si="215"/>
        <v>350389</v>
      </c>
      <c r="BN91" s="5">
        <f t="shared" si="215"/>
        <v>350389</v>
      </c>
      <c r="BO91" s="307">
        <f t="shared" si="209"/>
        <v>350389</v>
      </c>
    </row>
    <row r="92" spans="1:67">
      <c r="A92" s="467" t="s">
        <v>75</v>
      </c>
      <c r="C92" s="501">
        <v>0</v>
      </c>
      <c r="D92" s="24">
        <v>0</v>
      </c>
      <c r="E92" s="24">
        <v>0</v>
      </c>
      <c r="F92" s="24">
        <v>0</v>
      </c>
      <c r="G92" s="386">
        <v>0</v>
      </c>
      <c r="H92" s="500"/>
      <c r="I92" s="501">
        <v>0</v>
      </c>
      <c r="J92" s="24">
        <v>0</v>
      </c>
      <c r="K92" s="24">
        <v>0</v>
      </c>
      <c r="L92" s="24">
        <v>0</v>
      </c>
      <c r="M92" s="386">
        <v>0</v>
      </c>
      <c r="N92" s="500"/>
      <c r="O92" s="501">
        <v>0</v>
      </c>
      <c r="P92" s="24">
        <v>0</v>
      </c>
      <c r="Q92" s="24">
        <v>0</v>
      </c>
      <c r="R92" s="24">
        <v>0</v>
      </c>
      <c r="S92" s="386">
        <v>0</v>
      </c>
      <c r="T92" s="500"/>
      <c r="U92" s="501">
        <v>0</v>
      </c>
      <c r="V92" s="24">
        <v>0</v>
      </c>
      <c r="W92" s="24">
        <v>0</v>
      </c>
      <c r="X92" s="24">
        <f t="shared" si="171"/>
        <v>83182</v>
      </c>
      <c r="Y92" s="317">
        <v>83182</v>
      </c>
      <c r="Z92" s="500"/>
      <c r="AA92" s="393">
        <v>88772</v>
      </c>
      <c r="AB92" s="8">
        <v>95647</v>
      </c>
      <c r="AC92" s="8">
        <v>90242</v>
      </c>
      <c r="AD92" s="24">
        <f t="shared" si="172"/>
        <v>78790</v>
      </c>
      <c r="AE92" s="317">
        <v>78790</v>
      </c>
      <c r="AF92" s="500"/>
      <c r="AG92" s="393">
        <v>80175</v>
      </c>
      <c r="AH92" s="8">
        <v>79621</v>
      </c>
      <c r="AI92" s="8">
        <v>78602</v>
      </c>
      <c r="AJ92" s="24">
        <f t="shared" si="173"/>
        <v>90847</v>
      </c>
      <c r="AK92" s="517">
        <v>90847</v>
      </c>
      <c r="AL92" s="540"/>
      <c r="AM92" s="5">
        <f>AK92</f>
        <v>90847</v>
      </c>
      <c r="AN92" s="5">
        <f t="shared" si="215"/>
        <v>90847</v>
      </c>
      <c r="AO92" s="5">
        <f t="shared" si="215"/>
        <v>90847</v>
      </c>
      <c r="AP92" s="5">
        <f t="shared" si="215"/>
        <v>90847</v>
      </c>
      <c r="AQ92" s="307">
        <f t="shared" si="167"/>
        <v>90847</v>
      </c>
      <c r="AS92" s="377">
        <f>AQ92</f>
        <v>90847</v>
      </c>
      <c r="AT92" s="5">
        <f t="shared" si="215"/>
        <v>90847</v>
      </c>
      <c r="AU92" s="5">
        <f t="shared" si="215"/>
        <v>90847</v>
      </c>
      <c r="AV92" s="5">
        <f t="shared" si="215"/>
        <v>90847</v>
      </c>
      <c r="AW92" s="307">
        <f t="shared" si="206"/>
        <v>90847</v>
      </c>
      <c r="AY92" s="377">
        <f>AW92</f>
        <v>90847</v>
      </c>
      <c r="AZ92" s="5">
        <f t="shared" si="215"/>
        <v>90847</v>
      </c>
      <c r="BA92" s="5">
        <f t="shared" si="215"/>
        <v>90847</v>
      </c>
      <c r="BB92" s="5">
        <f t="shared" si="215"/>
        <v>90847</v>
      </c>
      <c r="BC92" s="307">
        <f t="shared" si="207"/>
        <v>90847</v>
      </c>
      <c r="BE92" s="377">
        <f>BC92</f>
        <v>90847</v>
      </c>
      <c r="BF92" s="5">
        <f t="shared" si="215"/>
        <v>90847</v>
      </c>
      <c r="BG92" s="5">
        <f t="shared" si="215"/>
        <v>90847</v>
      </c>
      <c r="BH92" s="5">
        <f t="shared" si="215"/>
        <v>90847</v>
      </c>
      <c r="BI92" s="307">
        <f t="shared" si="208"/>
        <v>90847</v>
      </c>
      <c r="BK92" s="377">
        <f>BI92</f>
        <v>90847</v>
      </c>
      <c r="BL92" s="5">
        <f t="shared" si="215"/>
        <v>90847</v>
      </c>
      <c r="BM92" s="5">
        <f t="shared" si="215"/>
        <v>90847</v>
      </c>
      <c r="BN92" s="5">
        <f t="shared" si="215"/>
        <v>90847</v>
      </c>
      <c r="BO92" s="307">
        <f t="shared" si="209"/>
        <v>90847</v>
      </c>
    </row>
    <row r="93" spans="1:67">
      <c r="A93" s="467" t="s">
        <v>63</v>
      </c>
      <c r="C93" s="393">
        <v>2093442</v>
      </c>
      <c r="D93" s="8">
        <v>2086045</v>
      </c>
      <c r="E93" s="8">
        <v>2090466</v>
      </c>
      <c r="F93" s="24">
        <f>G93</f>
        <v>2014551</v>
      </c>
      <c r="G93" s="317">
        <v>2014551</v>
      </c>
      <c r="H93" s="500"/>
      <c r="I93" s="393">
        <v>2014606</v>
      </c>
      <c r="J93" s="8">
        <v>2010745</v>
      </c>
      <c r="K93" s="8">
        <v>2000705</v>
      </c>
      <c r="L93" s="24">
        <f>M93</f>
        <v>1966287</v>
      </c>
      <c r="M93" s="317">
        <v>1966287</v>
      </c>
      <c r="N93" s="500"/>
      <c r="O93" s="393">
        <v>2112579</v>
      </c>
      <c r="P93" s="8">
        <v>2112164</v>
      </c>
      <c r="Q93" s="8">
        <v>2106025</v>
      </c>
      <c r="R93" s="24">
        <f>S93</f>
        <v>2118991</v>
      </c>
      <c r="S93" s="317">
        <v>2118991</v>
      </c>
      <c r="T93" s="500"/>
      <c r="U93" s="393">
        <v>2267804</v>
      </c>
      <c r="V93" s="8">
        <v>2218718</v>
      </c>
      <c r="W93" s="8">
        <v>2160411</v>
      </c>
      <c r="X93" s="24">
        <f t="shared" si="171"/>
        <v>2153824</v>
      </c>
      <c r="Y93" s="317">
        <v>2153824</v>
      </c>
      <c r="Z93" s="500"/>
      <c r="AA93" s="393">
        <v>2153536</v>
      </c>
      <c r="AB93" s="8">
        <v>2155223</v>
      </c>
      <c r="AC93" s="8">
        <v>2150838</v>
      </c>
      <c r="AD93" s="24">
        <f t="shared" si="172"/>
        <v>3214498</v>
      </c>
      <c r="AE93" s="317">
        <v>3214498</v>
      </c>
      <c r="AF93" s="500"/>
      <c r="AG93" s="393">
        <v>3218881</v>
      </c>
      <c r="AH93" s="8">
        <v>3217648</v>
      </c>
      <c r="AI93" s="8">
        <v>3217133</v>
      </c>
      <c r="AJ93" s="24">
        <f t="shared" si="173"/>
        <v>3187291</v>
      </c>
      <c r="AK93" s="517">
        <v>3187291</v>
      </c>
      <c r="AL93" s="540"/>
      <c r="AM93" s="5">
        <f>SUM(AM87:AM92)</f>
        <v>3179328.1045869472</v>
      </c>
      <c r="AN93" s="5">
        <f>SUM(AN87:AN92)</f>
        <v>3168041.6856340603</v>
      </c>
      <c r="AO93" s="5">
        <f>SUM(AO87:AO92)</f>
        <v>3156941.7541923346</v>
      </c>
      <c r="AP93" s="5">
        <f>SUM(AP87:AP92)</f>
        <v>3148028.9831156121</v>
      </c>
      <c r="AQ93" s="307">
        <f t="shared" si="167"/>
        <v>3148028.9831156121</v>
      </c>
      <c r="AS93" s="377">
        <f>SUM(AS87:AS92)</f>
        <v>3124068.5246724305</v>
      </c>
      <c r="AT93" s="5">
        <f>SUM(AT87:AT92)</f>
        <v>3111133.9787458093</v>
      </c>
      <c r="AU93" s="5">
        <f>SUM(AU87:AU92)</f>
        <v>3098467.4585945797</v>
      </c>
      <c r="AV93" s="5">
        <f>SUM(AV87:AV92)</f>
        <v>3088199.1104564979</v>
      </c>
      <c r="AW93" s="307">
        <f t="shared" si="206"/>
        <v>3088199.1104564979</v>
      </c>
      <c r="AY93" s="377">
        <f>SUM(AY87:AY92)</f>
        <v>3060997.7095923456</v>
      </c>
      <c r="AZ93" s="5">
        <f>SUM(AZ87:AZ92)</f>
        <v>3047389.8464343622</v>
      </c>
      <c r="BA93" s="5">
        <f>SUM(BA87:BA92)</f>
        <v>3034137.1136302808</v>
      </c>
      <c r="BB93" s="5">
        <f>SUM(BB87:BB92)</f>
        <v>3022177.3958600117</v>
      </c>
      <c r="BC93" s="307">
        <f t="shared" si="207"/>
        <v>3022177.3958600117</v>
      </c>
      <c r="BE93" s="377">
        <f>SUM(BE87:BE92)</f>
        <v>2992217.2891994189</v>
      </c>
      <c r="BF93" s="5">
        <f>SUM(BF87:BF92)</f>
        <v>2975723.1859431854</v>
      </c>
      <c r="BG93" s="5">
        <f>SUM(BG87:BG92)</f>
        <v>2960111.2653854694</v>
      </c>
      <c r="BH93" s="5">
        <f>SUM(BH87:BH92)</f>
        <v>2946087.1641173069</v>
      </c>
      <c r="BI93" s="307">
        <f t="shared" si="208"/>
        <v>2946087.1641173069</v>
      </c>
      <c r="BK93" s="377">
        <f>SUM(BK87:BK92)</f>
        <v>2911107.1640646295</v>
      </c>
      <c r="BL93" s="5">
        <f>SUM(BL87:BL92)</f>
        <v>2892335.6271409909</v>
      </c>
      <c r="BM93" s="5">
        <f>SUM(BM87:BM92)</f>
        <v>2874686.2362984922</v>
      </c>
      <c r="BN93" s="5">
        <f>SUM(BN87:BN92)</f>
        <v>2860149.8991533024</v>
      </c>
      <c r="BO93" s="307">
        <f t="shared" si="209"/>
        <v>2860149.8991533024</v>
      </c>
    </row>
    <row r="94" spans="1:67" ht="15">
      <c r="A94" s="472" t="s">
        <v>90</v>
      </c>
      <c r="C94" s="502">
        <f>SUM(C93,C85)</f>
        <v>2582023</v>
      </c>
      <c r="D94" s="26">
        <f t="shared" ref="D94:BN94" si="217">SUM(D93,D85)</f>
        <v>2705345</v>
      </c>
      <c r="E94" s="26">
        <f t="shared" si="217"/>
        <v>2620006</v>
      </c>
      <c r="F94" s="26">
        <f t="shared" si="217"/>
        <v>2518368</v>
      </c>
      <c r="G94" s="503">
        <f t="shared" si="217"/>
        <v>2518368</v>
      </c>
      <c r="H94" s="500"/>
      <c r="I94" s="502">
        <f t="shared" si="217"/>
        <v>2539290</v>
      </c>
      <c r="J94" s="26">
        <f t="shared" si="217"/>
        <v>2554413</v>
      </c>
      <c r="K94" s="26">
        <f t="shared" si="217"/>
        <v>2577005</v>
      </c>
      <c r="L94" s="26">
        <f t="shared" si="217"/>
        <v>2568565</v>
      </c>
      <c r="M94" s="503">
        <f t="shared" si="217"/>
        <v>2568565</v>
      </c>
      <c r="N94" s="500"/>
      <c r="O94" s="502">
        <f t="shared" si="217"/>
        <v>2710089</v>
      </c>
      <c r="P94" s="26">
        <f t="shared" si="217"/>
        <v>2745854</v>
      </c>
      <c r="Q94" s="26">
        <f t="shared" si="217"/>
        <v>2786067</v>
      </c>
      <c r="R94" s="26">
        <f t="shared" si="217"/>
        <v>2839091</v>
      </c>
      <c r="S94" s="503">
        <f t="shared" si="217"/>
        <v>2839091</v>
      </c>
      <c r="T94" s="500"/>
      <c r="U94" s="502">
        <f t="shared" si="217"/>
        <v>2926216</v>
      </c>
      <c r="V94" s="26">
        <f t="shared" si="217"/>
        <v>2823658</v>
      </c>
      <c r="W94" s="26">
        <f t="shared" si="217"/>
        <v>2801472</v>
      </c>
      <c r="X94" s="26">
        <f t="shared" si="217"/>
        <v>2789969</v>
      </c>
      <c r="Y94" s="503">
        <f t="shared" si="217"/>
        <v>2789969</v>
      </c>
      <c r="Z94" s="500"/>
      <c r="AA94" s="502">
        <f t="shared" si="217"/>
        <v>2804089</v>
      </c>
      <c r="AB94" s="26">
        <f t="shared" si="217"/>
        <v>2866292</v>
      </c>
      <c r="AC94" s="26">
        <f t="shared" si="217"/>
        <v>2890739</v>
      </c>
      <c r="AD94" s="26">
        <f t="shared" si="217"/>
        <v>4139812</v>
      </c>
      <c r="AE94" s="503">
        <f t="shared" si="217"/>
        <v>4139812</v>
      </c>
      <c r="AF94" s="500"/>
      <c r="AG94" s="502">
        <f t="shared" si="217"/>
        <v>4133020</v>
      </c>
      <c r="AH94" s="26">
        <f t="shared" si="217"/>
        <v>4207706</v>
      </c>
      <c r="AI94" s="26">
        <f t="shared" si="217"/>
        <v>4235046</v>
      </c>
      <c r="AJ94" s="26">
        <f t="shared" si="217"/>
        <v>4207385</v>
      </c>
      <c r="AK94" s="526">
        <f t="shared" si="217"/>
        <v>4207385</v>
      </c>
      <c r="AL94" s="540"/>
      <c r="AM94" s="21">
        <f>SUM(AM93,AM85)</f>
        <v>4157631.9908765475</v>
      </c>
      <c r="AN94" s="21">
        <f t="shared" si="217"/>
        <v>4220111.9483455708</v>
      </c>
      <c r="AO94" s="21">
        <f t="shared" si="217"/>
        <v>4185968.8153428016</v>
      </c>
      <c r="AP94" s="21">
        <f t="shared" si="217"/>
        <v>4146654.9751257231</v>
      </c>
      <c r="AQ94" s="367">
        <f t="shared" si="167"/>
        <v>4146654.9751257231</v>
      </c>
      <c r="AS94" s="390">
        <f t="shared" si="217"/>
        <v>4121054.985550418</v>
      </c>
      <c r="AT94" s="21">
        <f t="shared" si="217"/>
        <v>4184126.5731484098</v>
      </c>
      <c r="AU94" s="21">
        <f t="shared" si="217"/>
        <v>4178660.4473560797</v>
      </c>
      <c r="AV94" s="21">
        <f t="shared" si="217"/>
        <v>4143638.9658376118</v>
      </c>
      <c r="AW94" s="367">
        <f t="shared" si="206"/>
        <v>4143638.9658376118</v>
      </c>
      <c r="AY94" s="390">
        <f t="shared" si="217"/>
        <v>4114212.1536230193</v>
      </c>
      <c r="AZ94" s="21">
        <f t="shared" si="217"/>
        <v>4183786.3267543018</v>
      </c>
      <c r="BA94" s="21">
        <f t="shared" si="217"/>
        <v>4174278.5904331924</v>
      </c>
      <c r="BB94" s="21">
        <f t="shared" si="217"/>
        <v>4138313.742046637</v>
      </c>
      <c r="BC94" s="367">
        <f t="shared" si="207"/>
        <v>4138313.742046637</v>
      </c>
      <c r="BE94" s="390">
        <f t="shared" si="217"/>
        <v>4115692.4476355733</v>
      </c>
      <c r="BF94" s="21">
        <f t="shared" si="217"/>
        <v>4211792.2129256669</v>
      </c>
      <c r="BG94" s="21">
        <f t="shared" si="217"/>
        <v>4185533.7257290157</v>
      </c>
      <c r="BH94" s="21">
        <f t="shared" si="217"/>
        <v>4145389.1603550338</v>
      </c>
      <c r="BI94" s="367">
        <f t="shared" si="208"/>
        <v>4145389.1603550338</v>
      </c>
      <c r="BK94" s="390">
        <f t="shared" si="217"/>
        <v>4135262.0099945604</v>
      </c>
      <c r="BL94" s="21">
        <f t="shared" si="217"/>
        <v>4271758.3435585294</v>
      </c>
      <c r="BM94" s="21">
        <f t="shared" si="217"/>
        <v>4226408.9568266869</v>
      </c>
      <c r="BN94" s="21">
        <f t="shared" si="217"/>
        <v>4161042.1144964793</v>
      </c>
      <c r="BO94" s="367">
        <f t="shared" si="209"/>
        <v>4161042.1144964793</v>
      </c>
    </row>
    <row r="95" spans="1:67">
      <c r="A95" s="466" t="s">
        <v>65</v>
      </c>
      <c r="C95" s="501"/>
      <c r="D95" s="24"/>
      <c r="E95" s="24"/>
      <c r="F95" s="24"/>
      <c r="G95" s="386"/>
      <c r="H95" s="500"/>
      <c r="I95" s="501"/>
      <c r="J95" s="24"/>
      <c r="K95" s="24"/>
      <c r="L95" s="24"/>
      <c r="M95" s="386"/>
      <c r="N95" s="500"/>
      <c r="O95" s="501"/>
      <c r="P95" s="24"/>
      <c r="Q95" s="24"/>
      <c r="R95" s="24"/>
      <c r="S95" s="386"/>
      <c r="T95" s="500"/>
      <c r="U95" s="501"/>
      <c r="V95" s="24"/>
      <c r="W95" s="24"/>
      <c r="X95" s="24"/>
      <c r="Y95" s="386"/>
      <c r="Z95" s="500"/>
      <c r="AA95" s="501"/>
      <c r="AB95" s="24"/>
      <c r="AC95" s="24"/>
      <c r="AD95" s="24"/>
      <c r="AE95" s="386"/>
      <c r="AF95" s="500"/>
      <c r="AG95" s="501"/>
      <c r="AH95" s="16" t="s">
        <v>36</v>
      </c>
      <c r="AI95" s="16" t="s">
        <v>36</v>
      </c>
      <c r="AJ95" s="24" t="str">
        <f t="shared" si="173"/>
        <v> </v>
      </c>
      <c r="AK95" s="524" t="s">
        <v>36</v>
      </c>
      <c r="AL95" s="540"/>
      <c r="AM95" s="5"/>
      <c r="AN95" s="5"/>
      <c r="AO95" s="5"/>
      <c r="AP95" s="5"/>
      <c r="AQ95" s="307">
        <f t="shared" si="167"/>
        <v>0</v>
      </c>
      <c r="AS95" s="377"/>
      <c r="AT95" s="5"/>
      <c r="AU95" s="5"/>
      <c r="AV95" s="5"/>
      <c r="AW95" s="307">
        <f t="shared" si="206"/>
        <v>0</v>
      </c>
      <c r="AY95" s="377"/>
      <c r="AZ95" s="5"/>
      <c r="BA95" s="5"/>
      <c r="BB95" s="5"/>
      <c r="BC95" s="307">
        <f t="shared" si="207"/>
        <v>0</v>
      </c>
      <c r="BE95" s="377"/>
      <c r="BF95" s="5"/>
      <c r="BG95" s="5"/>
      <c r="BH95" s="5"/>
      <c r="BI95" s="307">
        <f t="shared" si="208"/>
        <v>0</v>
      </c>
      <c r="BK95" s="377"/>
      <c r="BL95" s="5"/>
      <c r="BM95" s="5"/>
      <c r="BN95" s="5"/>
      <c r="BO95" s="307">
        <f t="shared" si="209"/>
        <v>0</v>
      </c>
    </row>
    <row r="96" spans="1:67">
      <c r="A96" s="467" t="s">
        <v>134</v>
      </c>
      <c r="C96" s="393">
        <v>572</v>
      </c>
      <c r="D96" s="8">
        <v>572</v>
      </c>
      <c r="E96" s="8">
        <v>569</v>
      </c>
      <c r="F96" s="24">
        <f t="shared" ref="F96:F100" si="218">G96</f>
        <v>565</v>
      </c>
      <c r="G96" s="317">
        <v>565</v>
      </c>
      <c r="H96" s="500"/>
      <c r="I96" s="393">
        <v>562</v>
      </c>
      <c r="J96" s="8">
        <v>561</v>
      </c>
      <c r="K96" s="8">
        <v>560</v>
      </c>
      <c r="L96" s="24">
        <f t="shared" ref="L96:L100" si="219">M96</f>
        <v>558</v>
      </c>
      <c r="M96" s="317">
        <v>558</v>
      </c>
      <c r="N96" s="500"/>
      <c r="O96" s="393">
        <v>558</v>
      </c>
      <c r="P96" s="8">
        <v>559</v>
      </c>
      <c r="Q96" s="8">
        <v>558</v>
      </c>
      <c r="R96" s="24">
        <f t="shared" ref="R96:R100" si="220">S96</f>
        <v>558</v>
      </c>
      <c r="S96" s="317">
        <v>558</v>
      </c>
      <c r="T96" s="500"/>
      <c r="U96" s="393">
        <v>556</v>
      </c>
      <c r="V96" s="8">
        <v>556</v>
      </c>
      <c r="W96" s="8">
        <v>552</v>
      </c>
      <c r="X96" s="24">
        <f t="shared" si="171"/>
        <v>548</v>
      </c>
      <c r="Y96" s="317">
        <v>548</v>
      </c>
      <c r="Z96" s="500"/>
      <c r="AA96" s="393">
        <v>546</v>
      </c>
      <c r="AB96" s="8">
        <v>544</v>
      </c>
      <c r="AC96" s="8">
        <v>544</v>
      </c>
      <c r="AD96" s="24">
        <f t="shared" si="172"/>
        <v>544</v>
      </c>
      <c r="AE96" s="317">
        <v>544</v>
      </c>
      <c r="AF96" s="500"/>
      <c r="AG96" s="393">
        <v>544</v>
      </c>
      <c r="AH96" s="8">
        <v>541</v>
      </c>
      <c r="AI96" s="8">
        <v>541</v>
      </c>
      <c r="AJ96" s="24">
        <f t="shared" si="173"/>
        <v>541</v>
      </c>
      <c r="AK96" s="517">
        <v>541</v>
      </c>
      <c r="AL96" s="540"/>
      <c r="AM96" s="5">
        <f>AK96</f>
        <v>541</v>
      </c>
      <c r="AN96" s="5">
        <f t="shared" ref="AN96:BN96" si="221">AM96</f>
        <v>541</v>
      </c>
      <c r="AO96" s="5">
        <f t="shared" si="221"/>
        <v>541</v>
      </c>
      <c r="AP96" s="5">
        <f t="shared" si="221"/>
        <v>541</v>
      </c>
      <c r="AQ96" s="307">
        <f t="shared" si="167"/>
        <v>541</v>
      </c>
      <c r="AS96" s="377">
        <f>AQ96</f>
        <v>541</v>
      </c>
      <c r="AT96" s="5">
        <f t="shared" si="221"/>
        <v>541</v>
      </c>
      <c r="AU96" s="5">
        <f t="shared" si="221"/>
        <v>541</v>
      </c>
      <c r="AV96" s="5">
        <f t="shared" si="221"/>
        <v>541</v>
      </c>
      <c r="AW96" s="307">
        <f t="shared" si="206"/>
        <v>541</v>
      </c>
      <c r="AY96" s="377">
        <f>AW96</f>
        <v>541</v>
      </c>
      <c r="AZ96" s="5">
        <f t="shared" si="221"/>
        <v>541</v>
      </c>
      <c r="BA96" s="5">
        <f t="shared" si="221"/>
        <v>541</v>
      </c>
      <c r="BB96" s="5">
        <f t="shared" si="221"/>
        <v>541</v>
      </c>
      <c r="BC96" s="307">
        <f t="shared" si="207"/>
        <v>541</v>
      </c>
      <c r="BE96" s="377">
        <f>BC96</f>
        <v>541</v>
      </c>
      <c r="BF96" s="5">
        <f t="shared" si="221"/>
        <v>541</v>
      </c>
      <c r="BG96" s="5">
        <f t="shared" si="221"/>
        <v>541</v>
      </c>
      <c r="BH96" s="5">
        <f t="shared" si="221"/>
        <v>541</v>
      </c>
      <c r="BI96" s="307">
        <f t="shared" si="208"/>
        <v>541</v>
      </c>
      <c r="BK96" s="377">
        <f>BI96</f>
        <v>541</v>
      </c>
      <c r="BL96" s="5">
        <f t="shared" si="221"/>
        <v>541</v>
      </c>
      <c r="BM96" s="5">
        <f t="shared" si="221"/>
        <v>541</v>
      </c>
      <c r="BN96" s="5">
        <f t="shared" si="221"/>
        <v>541</v>
      </c>
      <c r="BO96" s="307">
        <f t="shared" si="209"/>
        <v>541</v>
      </c>
    </row>
    <row r="97" spans="1:67">
      <c r="A97" s="467" t="s">
        <v>66</v>
      </c>
      <c r="C97" s="393">
        <v>0</v>
      </c>
      <c r="D97" s="8">
        <v>0</v>
      </c>
      <c r="E97" s="8">
        <v>0</v>
      </c>
      <c r="F97" s="24">
        <f t="shared" si="218"/>
        <v>0</v>
      </c>
      <c r="G97" s="317">
        <v>0</v>
      </c>
      <c r="H97" s="500"/>
      <c r="I97" s="393">
        <v>0</v>
      </c>
      <c r="J97" s="8">
        <v>0</v>
      </c>
      <c r="K97" s="8">
        <v>0</v>
      </c>
      <c r="L97" s="24">
        <f t="shared" si="219"/>
        <v>0</v>
      </c>
      <c r="M97" s="317">
        <v>0</v>
      </c>
      <c r="N97" s="500"/>
      <c r="O97" s="393">
        <v>0</v>
      </c>
      <c r="P97" s="8">
        <v>0</v>
      </c>
      <c r="Q97" s="8">
        <v>0</v>
      </c>
      <c r="R97" s="24">
        <f t="shared" si="220"/>
        <v>0</v>
      </c>
      <c r="S97" s="317">
        <v>0</v>
      </c>
      <c r="T97" s="500"/>
      <c r="U97" s="393">
        <v>0</v>
      </c>
      <c r="V97" s="8">
        <v>0</v>
      </c>
      <c r="W97" s="24"/>
      <c r="X97" s="24">
        <f t="shared" si="171"/>
        <v>0</v>
      </c>
      <c r="Y97" s="386">
        <f t="shared" ref="Y97" si="222">AA97</f>
        <v>0</v>
      </c>
      <c r="Z97" s="500"/>
      <c r="AA97" s="501">
        <f t="shared" ref="AA97" si="223">AB97</f>
        <v>0</v>
      </c>
      <c r="AB97" s="24">
        <f t="shared" ref="AB97" si="224">AC97</f>
        <v>0</v>
      </c>
      <c r="AC97" s="8">
        <v>0</v>
      </c>
      <c r="AD97" s="24">
        <f t="shared" si="172"/>
        <v>0</v>
      </c>
      <c r="AE97" s="386"/>
      <c r="AF97" s="500"/>
      <c r="AG97" s="501"/>
      <c r="AH97" s="8">
        <v>0</v>
      </c>
      <c r="AI97" s="8">
        <v>0</v>
      </c>
      <c r="AJ97" s="24">
        <f t="shared" si="173"/>
        <v>0</v>
      </c>
      <c r="AK97" s="517">
        <v>0</v>
      </c>
      <c r="AL97" s="540"/>
      <c r="AM97" s="12">
        <v>0</v>
      </c>
      <c r="AN97" s="12">
        <v>0</v>
      </c>
      <c r="AO97" s="12">
        <v>0</v>
      </c>
      <c r="AP97" s="12">
        <v>0</v>
      </c>
      <c r="AQ97" s="306">
        <v>0</v>
      </c>
      <c r="AS97" s="375">
        <v>0</v>
      </c>
      <c r="AT97" s="12">
        <v>0</v>
      </c>
      <c r="AU97" s="12">
        <v>0</v>
      </c>
      <c r="AV97" s="12">
        <v>0</v>
      </c>
      <c r="AW97" s="306">
        <v>0</v>
      </c>
      <c r="AY97" s="375">
        <v>0</v>
      </c>
      <c r="AZ97" s="12">
        <v>0</v>
      </c>
      <c r="BA97" s="12">
        <v>0</v>
      </c>
      <c r="BB97" s="12">
        <v>0</v>
      </c>
      <c r="BC97" s="306">
        <v>0</v>
      </c>
      <c r="BE97" s="375">
        <v>0</v>
      </c>
      <c r="BF97" s="12">
        <v>0</v>
      </c>
      <c r="BG97" s="12">
        <v>0</v>
      </c>
      <c r="BH97" s="12">
        <v>0</v>
      </c>
      <c r="BI97" s="306">
        <v>0</v>
      </c>
      <c r="BK97" s="375">
        <v>0</v>
      </c>
      <c r="BL97" s="12">
        <v>0</v>
      </c>
      <c r="BM97" s="12">
        <v>0</v>
      </c>
      <c r="BN97" s="12">
        <v>0</v>
      </c>
      <c r="BO97" s="306">
        <v>0</v>
      </c>
    </row>
    <row r="98" spans="1:67">
      <c r="A98" s="467" t="s">
        <v>67</v>
      </c>
      <c r="C98" s="393">
        <v>720383</v>
      </c>
      <c r="D98" s="8">
        <v>716712</v>
      </c>
      <c r="E98" s="8">
        <v>708358</v>
      </c>
      <c r="F98" s="24">
        <f t="shared" si="218"/>
        <v>686962</v>
      </c>
      <c r="G98" s="317">
        <v>686962</v>
      </c>
      <c r="H98" s="500"/>
      <c r="I98" s="393">
        <v>675230</v>
      </c>
      <c r="J98" s="8">
        <v>664948</v>
      </c>
      <c r="K98" s="8">
        <v>661546</v>
      </c>
      <c r="L98" s="24">
        <f t="shared" si="219"/>
        <v>655415</v>
      </c>
      <c r="M98" s="317">
        <v>655415</v>
      </c>
      <c r="N98" s="500"/>
      <c r="O98" s="393">
        <v>652624</v>
      </c>
      <c r="P98" s="8">
        <v>648805</v>
      </c>
      <c r="Q98" s="8">
        <v>648184</v>
      </c>
      <c r="R98" s="24">
        <f t="shared" si="220"/>
        <v>644412</v>
      </c>
      <c r="S98" s="317">
        <v>644412</v>
      </c>
      <c r="T98" s="500"/>
      <c r="U98" s="393">
        <v>628140</v>
      </c>
      <c r="V98" s="8">
        <v>629755</v>
      </c>
      <c r="W98" s="8">
        <v>613208</v>
      </c>
      <c r="X98" s="24">
        <f t="shared" si="171"/>
        <v>582749</v>
      </c>
      <c r="Y98" s="317">
        <v>582749</v>
      </c>
      <c r="Z98" s="500"/>
      <c r="AA98" s="393">
        <v>555966</v>
      </c>
      <c r="AB98" s="8">
        <v>539390</v>
      </c>
      <c r="AC98" s="8">
        <v>539747</v>
      </c>
      <c r="AD98" s="24">
        <f t="shared" si="172"/>
        <v>536377</v>
      </c>
      <c r="AE98" s="317">
        <v>536377</v>
      </c>
      <c r="AF98" s="500"/>
      <c r="AG98" s="393">
        <v>536564</v>
      </c>
      <c r="AH98" s="8">
        <v>512662</v>
      </c>
      <c r="AI98" s="8">
        <v>506359</v>
      </c>
      <c r="AJ98" s="24">
        <f t="shared" si="173"/>
        <v>504240</v>
      </c>
      <c r="AK98" s="517">
        <v>504240</v>
      </c>
      <c r="AL98" s="540"/>
      <c r="AM98" s="5">
        <f>AK98+AM121</f>
        <v>471240</v>
      </c>
      <c r="AN98" s="5">
        <f>AM98+AN121</f>
        <v>438240</v>
      </c>
      <c r="AO98" s="5">
        <f>AN98+AO121</f>
        <v>405240</v>
      </c>
      <c r="AP98" s="5">
        <f>AO98+AP121</f>
        <v>372240</v>
      </c>
      <c r="AQ98" s="307">
        <f t="shared" ref="AQ98:AQ103" si="225">AP98</f>
        <v>372240</v>
      </c>
      <c r="AS98" s="377">
        <f>AQ98+AS121</f>
        <v>339240</v>
      </c>
      <c r="AT98" s="5">
        <f>AS98+AT121</f>
        <v>306240</v>
      </c>
      <c r="AU98" s="5">
        <f>AT98+AU121</f>
        <v>273240</v>
      </c>
      <c r="AV98" s="5">
        <f>AU98+AV121</f>
        <v>240240</v>
      </c>
      <c r="AW98" s="307">
        <f t="shared" si="206"/>
        <v>240240</v>
      </c>
      <c r="AY98" s="377">
        <f>AW98+AY121</f>
        <v>207240</v>
      </c>
      <c r="AZ98" s="5">
        <f>AY98+AZ121</f>
        <v>174240</v>
      </c>
      <c r="BA98" s="5">
        <f>AZ98+BA121</f>
        <v>141240</v>
      </c>
      <c r="BB98" s="5">
        <f>BA98+BB121</f>
        <v>108240</v>
      </c>
      <c r="BC98" s="307">
        <f t="shared" si="207"/>
        <v>108240</v>
      </c>
      <c r="BE98" s="377">
        <f>BC98+BE121</f>
        <v>75240</v>
      </c>
      <c r="BF98" s="5">
        <f>BE98+BF121</f>
        <v>42240</v>
      </c>
      <c r="BG98" s="5">
        <f>BF98+BG121</f>
        <v>9240</v>
      </c>
      <c r="BH98" s="5">
        <f>BG98+BH121</f>
        <v>-23760</v>
      </c>
      <c r="BI98" s="307">
        <f t="shared" si="208"/>
        <v>-23760</v>
      </c>
      <c r="BK98" s="377">
        <f>BI98+BK121</f>
        <v>-56760</v>
      </c>
      <c r="BL98" s="5">
        <f>BK98+BL121</f>
        <v>-89760</v>
      </c>
      <c r="BM98" s="5">
        <f>BL98+BM121</f>
        <v>-122760</v>
      </c>
      <c r="BN98" s="5">
        <f>BM98+BN121</f>
        <v>-155760</v>
      </c>
      <c r="BO98" s="307">
        <f t="shared" si="209"/>
        <v>-155760</v>
      </c>
    </row>
    <row r="99" spans="1:67">
      <c r="A99" s="467" t="s">
        <v>68</v>
      </c>
      <c r="C99" s="393">
        <v>-208275</v>
      </c>
      <c r="D99" s="8">
        <v>-193177</v>
      </c>
      <c r="E99" s="8">
        <v>-169468</v>
      </c>
      <c r="F99" s="24">
        <f t="shared" si="218"/>
        <v>-172407</v>
      </c>
      <c r="G99" s="317">
        <v>-172407</v>
      </c>
      <c r="H99" s="500"/>
      <c r="I99" s="393">
        <v>-189153</v>
      </c>
      <c r="J99" s="8">
        <v>-194095</v>
      </c>
      <c r="K99" s="8">
        <v>-185505</v>
      </c>
      <c r="L99" s="24">
        <f t="shared" si="219"/>
        <v>-223371</v>
      </c>
      <c r="M99" s="317">
        <v>-223371</v>
      </c>
      <c r="N99" s="500"/>
      <c r="O99" s="393">
        <v>-219347</v>
      </c>
      <c r="P99" s="8">
        <v>-214271</v>
      </c>
      <c r="Q99" s="8">
        <v>-223690</v>
      </c>
      <c r="R99" s="24">
        <f t="shared" si="220"/>
        <v>-210051</v>
      </c>
      <c r="S99" s="317">
        <v>-210051</v>
      </c>
      <c r="T99" s="500"/>
      <c r="U99" s="393">
        <v>-269357</v>
      </c>
      <c r="V99" s="8">
        <v>-251829</v>
      </c>
      <c r="W99" s="8">
        <v>-239444</v>
      </c>
      <c r="X99" s="24">
        <f t="shared" si="171"/>
        <v>-211477</v>
      </c>
      <c r="Y99" s="317">
        <v>-211477</v>
      </c>
      <c r="Z99" s="500"/>
      <c r="AA99" s="393">
        <v>-199529</v>
      </c>
      <c r="AB99" s="8">
        <v>-188889</v>
      </c>
      <c r="AC99" s="8">
        <v>-200716</v>
      </c>
      <c r="AD99" s="24">
        <f t="shared" si="172"/>
        <v>-196012</v>
      </c>
      <c r="AE99" s="317">
        <v>-196012</v>
      </c>
      <c r="AF99" s="500"/>
      <c r="AG99" s="393">
        <v>-162163</v>
      </c>
      <c r="AH99" s="8">
        <v>-162702</v>
      </c>
      <c r="AI99" s="8">
        <v>-171567</v>
      </c>
      <c r="AJ99" s="24">
        <f t="shared" si="173"/>
        <v>-167181</v>
      </c>
      <c r="AK99" s="517">
        <v>-167181</v>
      </c>
      <c r="AL99" s="540"/>
      <c r="AM99" s="5">
        <f>AK99</f>
        <v>-167181</v>
      </c>
      <c r="AN99" s="5">
        <f t="shared" ref="AN99:BN99" si="226">AM99</f>
        <v>-167181</v>
      </c>
      <c r="AO99" s="5">
        <f t="shared" si="226"/>
        <v>-167181</v>
      </c>
      <c r="AP99" s="5">
        <f t="shared" si="226"/>
        <v>-167181</v>
      </c>
      <c r="AQ99" s="307">
        <f t="shared" si="225"/>
        <v>-167181</v>
      </c>
      <c r="AS99" s="377">
        <f>AQ99</f>
        <v>-167181</v>
      </c>
      <c r="AT99" s="5">
        <f t="shared" si="226"/>
        <v>-167181</v>
      </c>
      <c r="AU99" s="5">
        <f t="shared" si="226"/>
        <v>-167181</v>
      </c>
      <c r="AV99" s="5">
        <f t="shared" si="226"/>
        <v>-167181</v>
      </c>
      <c r="AW99" s="307">
        <f t="shared" si="206"/>
        <v>-167181</v>
      </c>
      <c r="AY99" s="377">
        <f>AW99</f>
        <v>-167181</v>
      </c>
      <c r="AZ99" s="5">
        <f t="shared" si="226"/>
        <v>-167181</v>
      </c>
      <c r="BA99" s="5">
        <f t="shared" si="226"/>
        <v>-167181</v>
      </c>
      <c r="BB99" s="5">
        <f t="shared" si="226"/>
        <v>-167181</v>
      </c>
      <c r="BC99" s="307">
        <f t="shared" si="207"/>
        <v>-167181</v>
      </c>
      <c r="BE99" s="377">
        <f>BC99</f>
        <v>-167181</v>
      </c>
      <c r="BF99" s="5">
        <f t="shared" si="226"/>
        <v>-167181</v>
      </c>
      <c r="BG99" s="5">
        <f t="shared" si="226"/>
        <v>-167181</v>
      </c>
      <c r="BH99" s="5">
        <f t="shared" si="226"/>
        <v>-167181</v>
      </c>
      <c r="BI99" s="307">
        <f t="shared" si="208"/>
        <v>-167181</v>
      </c>
      <c r="BK99" s="377">
        <f>BI99</f>
        <v>-167181</v>
      </c>
      <c r="BL99" s="5">
        <f t="shared" si="226"/>
        <v>-167181</v>
      </c>
      <c r="BM99" s="5">
        <f t="shared" si="226"/>
        <v>-167181</v>
      </c>
      <c r="BN99" s="5">
        <f t="shared" si="226"/>
        <v>-167181</v>
      </c>
      <c r="BO99" s="307">
        <f t="shared" si="209"/>
        <v>-167181</v>
      </c>
    </row>
    <row r="100" spans="1:67">
      <c r="A100" s="467" t="s">
        <v>92</v>
      </c>
      <c r="C100" s="393">
        <v>550950</v>
      </c>
      <c r="D100" s="8">
        <v>576830</v>
      </c>
      <c r="E100" s="8">
        <v>588888</v>
      </c>
      <c r="F100" s="24">
        <f t="shared" si="218"/>
        <v>673082</v>
      </c>
      <c r="G100" s="317">
        <v>673082</v>
      </c>
      <c r="H100" s="500"/>
      <c r="I100" s="393">
        <v>658887</v>
      </c>
      <c r="J100" s="8">
        <v>689634</v>
      </c>
      <c r="K100" s="8">
        <v>720723</v>
      </c>
      <c r="L100" s="24">
        <f t="shared" si="219"/>
        <v>737154</v>
      </c>
      <c r="M100" s="317">
        <v>737154</v>
      </c>
      <c r="N100" s="500"/>
      <c r="O100" s="393">
        <v>738130</v>
      </c>
      <c r="P100" s="8">
        <v>774374</v>
      </c>
      <c r="Q100" s="8">
        <v>810743</v>
      </c>
      <c r="R100" s="24">
        <f t="shared" si="220"/>
        <v>834894</v>
      </c>
      <c r="S100" s="317">
        <v>834894</v>
      </c>
      <c r="T100" s="500"/>
      <c r="U100" s="393">
        <v>846466</v>
      </c>
      <c r="V100" s="8">
        <v>875489</v>
      </c>
      <c r="W100" s="8">
        <v>930399</v>
      </c>
      <c r="X100" s="24">
        <f t="shared" si="171"/>
        <v>969731</v>
      </c>
      <c r="Y100" s="317">
        <v>969731</v>
      </c>
      <c r="Z100" s="500"/>
      <c r="AA100" s="393">
        <v>991467</v>
      </c>
      <c r="AB100" s="8">
        <v>1058542</v>
      </c>
      <c r="AC100" s="8">
        <v>1123985</v>
      </c>
      <c r="AD100" s="24">
        <f t="shared" si="172"/>
        <v>1172978</v>
      </c>
      <c r="AE100" s="317">
        <v>1172978</v>
      </c>
      <c r="AF100" s="500"/>
      <c r="AG100" s="393">
        <v>1218292</v>
      </c>
      <c r="AH100" s="8">
        <v>1366449</v>
      </c>
      <c r="AI100" s="8">
        <v>1502248</v>
      </c>
      <c r="AJ100" s="24">
        <f t="shared" si="173"/>
        <v>1584722</v>
      </c>
      <c r="AK100" s="517">
        <v>1584722</v>
      </c>
      <c r="AL100" s="540"/>
      <c r="AM100" s="5">
        <f>AK100+AM38</f>
        <v>1646765.0065816774</v>
      </c>
      <c r="AN100" s="5">
        <f>AM100+AN38</f>
        <v>1765231.1842439044</v>
      </c>
      <c r="AO100" s="5">
        <f>AN100+AO38</f>
        <v>1882253.8527606241</v>
      </c>
      <c r="AP100" s="5">
        <f>AO100+AP38</f>
        <v>1959112.8398182739</v>
      </c>
      <c r="AQ100" s="307">
        <f t="shared" si="225"/>
        <v>1959112.8398182739</v>
      </c>
      <c r="AS100" s="377">
        <f>AQ100+AS38</f>
        <v>2032620.9179089044</v>
      </c>
      <c r="AT100" s="5">
        <f>AS100+AT38</f>
        <v>2162469.1657682918</v>
      </c>
      <c r="AU100" s="5">
        <f>AT100+AU38</f>
        <v>2289700.4922654256</v>
      </c>
      <c r="AV100" s="5">
        <f>AU100+AV38</f>
        <v>2377089.2743388973</v>
      </c>
      <c r="AW100" s="307">
        <f t="shared" si="206"/>
        <v>2377089.2743388973</v>
      </c>
      <c r="AY100" s="377">
        <f>AW100+AY38</f>
        <v>2453451.3183954633</v>
      </c>
      <c r="AZ100" s="5">
        <f>AY100+AZ38</f>
        <v>2581881.0237397053</v>
      </c>
      <c r="BA100" s="5">
        <f>AZ100+BA38</f>
        <v>2710588.227082965</v>
      </c>
      <c r="BB100" s="5">
        <f>BA100+BB38</f>
        <v>2820998.2993864226</v>
      </c>
      <c r="BC100" s="307">
        <f t="shared" si="207"/>
        <v>2820998.2993864226</v>
      </c>
      <c r="BE100" s="377">
        <f>BC100+BE38</f>
        <v>2910657.2831335347</v>
      </c>
      <c r="BF100" s="5">
        <f>BE100+BF38</f>
        <v>3075931.358604481</v>
      </c>
      <c r="BG100" s="5">
        <f>BF100+BG38</f>
        <v>3234950.6979690092</v>
      </c>
      <c r="BH100" s="5">
        <f>BG100+BH38</f>
        <v>3369333.3611436617</v>
      </c>
      <c r="BI100" s="307">
        <f t="shared" si="208"/>
        <v>3369333.3611436617</v>
      </c>
      <c r="BK100" s="377">
        <f>BI100+BK38</f>
        <v>3464146.8516215272</v>
      </c>
      <c r="BL100" s="5">
        <f>BK100+BL38</f>
        <v>3639945.0766926599</v>
      </c>
      <c r="BM100" s="5">
        <f>BL100+BM38</f>
        <v>3808087.2635439313</v>
      </c>
      <c r="BN100" s="5">
        <f>BM100+BN38</f>
        <v>3929884.1708458099</v>
      </c>
      <c r="BO100" s="307">
        <f t="shared" si="209"/>
        <v>3929884.1708458099</v>
      </c>
    </row>
    <row r="101" spans="1:67" ht="15">
      <c r="A101" s="456" t="s">
        <v>69</v>
      </c>
      <c r="C101" s="347">
        <f>SUM(C96:C100)</f>
        <v>1063630</v>
      </c>
      <c r="D101" s="9">
        <f t="shared" ref="D101:BN101" si="227">SUM(D96:D100)</f>
        <v>1100937</v>
      </c>
      <c r="E101" s="9">
        <f t="shared" si="227"/>
        <v>1128347</v>
      </c>
      <c r="F101" s="9">
        <f t="shared" si="227"/>
        <v>1188202</v>
      </c>
      <c r="G101" s="296">
        <f t="shared" si="227"/>
        <v>1188202</v>
      </c>
      <c r="H101" s="500"/>
      <c r="I101" s="347">
        <f t="shared" si="227"/>
        <v>1145526</v>
      </c>
      <c r="J101" s="9">
        <f t="shared" si="227"/>
        <v>1161048</v>
      </c>
      <c r="K101" s="9">
        <f t="shared" si="227"/>
        <v>1197324</v>
      </c>
      <c r="L101" s="9">
        <f t="shared" si="227"/>
        <v>1169756</v>
      </c>
      <c r="M101" s="296">
        <f t="shared" si="227"/>
        <v>1169756</v>
      </c>
      <c r="N101" s="500"/>
      <c r="O101" s="347">
        <f t="shared" si="227"/>
        <v>1171965</v>
      </c>
      <c r="P101" s="9">
        <f t="shared" si="227"/>
        <v>1209467</v>
      </c>
      <c r="Q101" s="9">
        <f t="shared" si="227"/>
        <v>1235795</v>
      </c>
      <c r="R101" s="9">
        <f t="shared" si="227"/>
        <v>1269813</v>
      </c>
      <c r="S101" s="296">
        <f t="shared" si="227"/>
        <v>1269813</v>
      </c>
      <c r="T101" s="500"/>
      <c r="U101" s="347">
        <f t="shared" si="227"/>
        <v>1205805</v>
      </c>
      <c r="V101" s="9">
        <f t="shared" si="227"/>
        <v>1253971</v>
      </c>
      <c r="W101" s="9">
        <f t="shared" si="227"/>
        <v>1304715</v>
      </c>
      <c r="X101" s="9">
        <f t="shared" si="227"/>
        <v>1341551</v>
      </c>
      <c r="Y101" s="296">
        <f t="shared" si="227"/>
        <v>1341551</v>
      </c>
      <c r="Z101" s="500"/>
      <c r="AA101" s="347">
        <f t="shared" si="227"/>
        <v>1348450</v>
      </c>
      <c r="AB101" s="9">
        <f t="shared" si="227"/>
        <v>1409587</v>
      </c>
      <c r="AC101" s="9">
        <f t="shared" si="227"/>
        <v>1463560</v>
      </c>
      <c r="AD101" s="9">
        <f t="shared" si="227"/>
        <v>1513887</v>
      </c>
      <c r="AE101" s="296">
        <f t="shared" si="227"/>
        <v>1513887</v>
      </c>
      <c r="AF101" s="500"/>
      <c r="AG101" s="347">
        <f t="shared" si="227"/>
        <v>1593237</v>
      </c>
      <c r="AH101" s="9">
        <f t="shared" si="227"/>
        <v>1716950</v>
      </c>
      <c r="AI101" s="9">
        <f t="shared" si="227"/>
        <v>1837581</v>
      </c>
      <c r="AJ101" s="9">
        <f t="shared" si="227"/>
        <v>1922322</v>
      </c>
      <c r="AK101" s="506">
        <f t="shared" si="227"/>
        <v>1922322</v>
      </c>
      <c r="AL101" s="540"/>
      <c r="AM101" s="14">
        <f>SUM(AM96:AM100)</f>
        <v>1951365.0065816774</v>
      </c>
      <c r="AN101" s="14">
        <f t="shared" si="227"/>
        <v>2036831.1842439044</v>
      </c>
      <c r="AO101" s="14">
        <f t="shared" si="227"/>
        <v>2120853.8527606241</v>
      </c>
      <c r="AP101" s="14">
        <f t="shared" si="227"/>
        <v>2164712.8398182737</v>
      </c>
      <c r="AQ101" s="367">
        <f t="shared" si="225"/>
        <v>2164712.8398182737</v>
      </c>
      <c r="AS101" s="376">
        <f t="shared" si="227"/>
        <v>2205220.9179089041</v>
      </c>
      <c r="AT101" s="14">
        <f t="shared" si="227"/>
        <v>2302069.1657682918</v>
      </c>
      <c r="AU101" s="14">
        <f t="shared" si="227"/>
        <v>2396300.4922654256</v>
      </c>
      <c r="AV101" s="14">
        <f t="shared" si="227"/>
        <v>2450689.2743388973</v>
      </c>
      <c r="AW101" s="367">
        <f t="shared" si="206"/>
        <v>2450689.2743388973</v>
      </c>
      <c r="AY101" s="376">
        <f t="shared" si="227"/>
        <v>2494051.3183954633</v>
      </c>
      <c r="AZ101" s="14">
        <f t="shared" si="227"/>
        <v>2589481.0237397053</v>
      </c>
      <c r="BA101" s="14">
        <f t="shared" si="227"/>
        <v>2685188.227082965</v>
      </c>
      <c r="BB101" s="14">
        <f t="shared" si="227"/>
        <v>2762598.2993864226</v>
      </c>
      <c r="BC101" s="367">
        <f t="shared" si="207"/>
        <v>2762598.2993864226</v>
      </c>
      <c r="BE101" s="376">
        <f t="shared" si="227"/>
        <v>2819257.2831335347</v>
      </c>
      <c r="BF101" s="14">
        <f t="shared" si="227"/>
        <v>2951531.358604481</v>
      </c>
      <c r="BG101" s="14">
        <f t="shared" si="227"/>
        <v>3077550.6979690092</v>
      </c>
      <c r="BH101" s="14">
        <f t="shared" si="227"/>
        <v>3178933.3611436617</v>
      </c>
      <c r="BI101" s="367">
        <f t="shared" si="208"/>
        <v>3178933.3611436617</v>
      </c>
      <c r="BK101" s="376">
        <f t="shared" si="227"/>
        <v>3240746.8516215272</v>
      </c>
      <c r="BL101" s="14">
        <f t="shared" si="227"/>
        <v>3383545.0766926599</v>
      </c>
      <c r="BM101" s="14">
        <f t="shared" si="227"/>
        <v>3518687.2635439313</v>
      </c>
      <c r="BN101" s="14">
        <f t="shared" si="227"/>
        <v>3607484.1708458099</v>
      </c>
      <c r="BO101" s="367">
        <f t="shared" si="209"/>
        <v>3607484.1708458099</v>
      </c>
    </row>
    <row r="102" spans="1:67" ht="15">
      <c r="A102" s="456" t="s">
        <v>70</v>
      </c>
      <c r="C102" s="347">
        <f>C94+C101</f>
        <v>3645653</v>
      </c>
      <c r="D102" s="9">
        <f t="shared" ref="D102:BN102" si="228">D94+D101</f>
        <v>3806282</v>
      </c>
      <c r="E102" s="9">
        <f t="shared" si="228"/>
        <v>3748353</v>
      </c>
      <c r="F102" s="9">
        <f t="shared" si="228"/>
        <v>3706570</v>
      </c>
      <c r="G102" s="296">
        <f t="shared" si="228"/>
        <v>3706570</v>
      </c>
      <c r="H102" s="500"/>
      <c r="I102" s="347">
        <f t="shared" si="228"/>
        <v>3684816</v>
      </c>
      <c r="J102" s="9">
        <f t="shared" si="228"/>
        <v>3715461</v>
      </c>
      <c r="K102" s="9">
        <f t="shared" si="228"/>
        <v>3774329</v>
      </c>
      <c r="L102" s="9">
        <f t="shared" si="228"/>
        <v>3738321</v>
      </c>
      <c r="M102" s="296">
        <f t="shared" si="228"/>
        <v>3738321</v>
      </c>
      <c r="N102" s="500"/>
      <c r="O102" s="347">
        <f t="shared" si="228"/>
        <v>3882054</v>
      </c>
      <c r="P102" s="9">
        <f t="shared" si="228"/>
        <v>3955321</v>
      </c>
      <c r="Q102" s="9">
        <f t="shared" si="228"/>
        <v>4021862</v>
      </c>
      <c r="R102" s="9">
        <f t="shared" si="228"/>
        <v>4108904</v>
      </c>
      <c r="S102" s="296">
        <f t="shared" si="228"/>
        <v>4108904</v>
      </c>
      <c r="T102" s="500"/>
      <c r="U102" s="347">
        <f t="shared" si="228"/>
        <v>4132021</v>
      </c>
      <c r="V102" s="9">
        <f t="shared" si="228"/>
        <v>4077629</v>
      </c>
      <c r="W102" s="9">
        <f t="shared" si="228"/>
        <v>4106187</v>
      </c>
      <c r="X102" s="9">
        <f t="shared" si="228"/>
        <v>4131520</v>
      </c>
      <c r="Y102" s="296">
        <f t="shared" si="228"/>
        <v>4131520</v>
      </c>
      <c r="Z102" s="500"/>
      <c r="AA102" s="347">
        <f t="shared" si="228"/>
        <v>4152539</v>
      </c>
      <c r="AB102" s="9">
        <f t="shared" si="228"/>
        <v>4275879</v>
      </c>
      <c r="AC102" s="9">
        <f t="shared" si="228"/>
        <v>4354299</v>
      </c>
      <c r="AD102" s="9">
        <f t="shared" si="228"/>
        <v>5653699</v>
      </c>
      <c r="AE102" s="296">
        <f t="shared" si="228"/>
        <v>5653699</v>
      </c>
      <c r="AF102" s="500"/>
      <c r="AG102" s="347">
        <f t="shared" si="228"/>
        <v>5726257</v>
      </c>
      <c r="AH102" s="9">
        <f t="shared" si="228"/>
        <v>5924656</v>
      </c>
      <c r="AI102" s="9">
        <f t="shared" si="228"/>
        <v>6072627</v>
      </c>
      <c r="AJ102" s="9">
        <f t="shared" si="228"/>
        <v>6129707</v>
      </c>
      <c r="AK102" s="506">
        <f t="shared" si="228"/>
        <v>6129707</v>
      </c>
      <c r="AL102" s="540"/>
      <c r="AM102" s="9">
        <f>AM94+AM101</f>
        <v>6108996.9974582251</v>
      </c>
      <c r="AN102" s="9">
        <f t="shared" si="228"/>
        <v>6256943.1325894753</v>
      </c>
      <c r="AO102" s="9">
        <f t="shared" si="228"/>
        <v>6306822.6681034258</v>
      </c>
      <c r="AP102" s="9">
        <f t="shared" si="228"/>
        <v>6311367.8149439972</v>
      </c>
      <c r="AQ102" s="367">
        <f t="shared" si="225"/>
        <v>6311367.8149439972</v>
      </c>
      <c r="AS102" s="347">
        <f t="shared" si="228"/>
        <v>6326275.9034593217</v>
      </c>
      <c r="AT102" s="9">
        <f t="shared" si="228"/>
        <v>6486195.7389167016</v>
      </c>
      <c r="AU102" s="9">
        <f t="shared" si="228"/>
        <v>6574960.9396215053</v>
      </c>
      <c r="AV102" s="9">
        <f t="shared" si="228"/>
        <v>6594328.2401765091</v>
      </c>
      <c r="AW102" s="367">
        <f t="shared" si="206"/>
        <v>6594328.2401765091</v>
      </c>
      <c r="AY102" s="347">
        <f t="shared" si="228"/>
        <v>6608263.4720184822</v>
      </c>
      <c r="AZ102" s="9">
        <f t="shared" si="228"/>
        <v>6773267.3504940066</v>
      </c>
      <c r="BA102" s="9">
        <f t="shared" si="228"/>
        <v>6859466.8175161574</v>
      </c>
      <c r="BB102" s="9">
        <f t="shared" si="228"/>
        <v>6900912.0414330596</v>
      </c>
      <c r="BC102" s="367">
        <f t="shared" si="207"/>
        <v>6900912.0414330596</v>
      </c>
      <c r="BE102" s="347">
        <f t="shared" si="228"/>
        <v>6934949.730769108</v>
      </c>
      <c r="BF102" s="9">
        <f t="shared" si="228"/>
        <v>7163323.5715301484</v>
      </c>
      <c r="BG102" s="9">
        <f t="shared" si="228"/>
        <v>7263084.4236980248</v>
      </c>
      <c r="BH102" s="9">
        <f t="shared" si="228"/>
        <v>7324322.521498695</v>
      </c>
      <c r="BI102" s="367">
        <f t="shared" si="208"/>
        <v>7324322.521498695</v>
      </c>
      <c r="BK102" s="347">
        <f t="shared" si="228"/>
        <v>7376008.8616160881</v>
      </c>
      <c r="BL102" s="9">
        <f t="shared" si="228"/>
        <v>7655303.4202511888</v>
      </c>
      <c r="BM102" s="9">
        <f t="shared" si="228"/>
        <v>7745096.2203706186</v>
      </c>
      <c r="BN102" s="9">
        <f t="shared" si="228"/>
        <v>7768526.2853422891</v>
      </c>
      <c r="BO102" s="367">
        <f t="shared" si="209"/>
        <v>7768526.2853422891</v>
      </c>
    </row>
    <row r="103" spans="1:67" ht="15.75" thickBot="1">
      <c r="A103" s="473" t="s">
        <v>91</v>
      </c>
      <c r="C103" s="391">
        <f>C77-C102</f>
        <v>0</v>
      </c>
      <c r="D103" s="328">
        <f t="shared" ref="D103:BO103" si="229">D77-D102</f>
        <v>0</v>
      </c>
      <c r="E103" s="328">
        <f t="shared" si="229"/>
        <v>0</v>
      </c>
      <c r="F103" s="328">
        <f t="shared" si="229"/>
        <v>0</v>
      </c>
      <c r="G103" s="329">
        <f t="shared" si="229"/>
        <v>0</v>
      </c>
      <c r="H103" s="500"/>
      <c r="I103" s="391">
        <f t="shared" si="229"/>
        <v>0</v>
      </c>
      <c r="J103" s="328">
        <f t="shared" si="229"/>
        <v>0</v>
      </c>
      <c r="K103" s="328">
        <f t="shared" si="229"/>
        <v>0</v>
      </c>
      <c r="L103" s="328">
        <f t="shared" si="229"/>
        <v>0</v>
      </c>
      <c r="M103" s="329">
        <f t="shared" si="229"/>
        <v>0</v>
      </c>
      <c r="N103" s="500"/>
      <c r="O103" s="391">
        <f t="shared" si="229"/>
        <v>0</v>
      </c>
      <c r="P103" s="328">
        <f t="shared" si="229"/>
        <v>0</v>
      </c>
      <c r="Q103" s="328">
        <f t="shared" si="229"/>
        <v>0</v>
      </c>
      <c r="R103" s="328">
        <f t="shared" si="229"/>
        <v>0</v>
      </c>
      <c r="S103" s="329">
        <f t="shared" si="229"/>
        <v>0</v>
      </c>
      <c r="T103" s="500"/>
      <c r="U103" s="391">
        <f t="shared" si="229"/>
        <v>0</v>
      </c>
      <c r="V103" s="328">
        <f t="shared" si="229"/>
        <v>0</v>
      </c>
      <c r="W103" s="328">
        <f t="shared" si="229"/>
        <v>0</v>
      </c>
      <c r="X103" s="328">
        <f t="shared" si="229"/>
        <v>0</v>
      </c>
      <c r="Y103" s="329">
        <f t="shared" si="229"/>
        <v>0</v>
      </c>
      <c r="Z103" s="500"/>
      <c r="AA103" s="391">
        <f t="shared" si="229"/>
        <v>0</v>
      </c>
      <c r="AB103" s="328">
        <f t="shared" si="229"/>
        <v>0</v>
      </c>
      <c r="AC103" s="328">
        <f t="shared" si="229"/>
        <v>0</v>
      </c>
      <c r="AD103" s="328">
        <f t="shared" si="229"/>
        <v>0</v>
      </c>
      <c r="AE103" s="329">
        <f t="shared" si="229"/>
        <v>0</v>
      </c>
      <c r="AF103" s="500"/>
      <c r="AG103" s="391">
        <f t="shared" si="229"/>
        <v>0</v>
      </c>
      <c r="AH103" s="328">
        <f t="shared" si="229"/>
        <v>0</v>
      </c>
      <c r="AI103" s="328">
        <f t="shared" si="229"/>
        <v>0</v>
      </c>
      <c r="AJ103" s="328">
        <f t="shared" si="229"/>
        <v>0</v>
      </c>
      <c r="AK103" s="527">
        <f t="shared" si="229"/>
        <v>0</v>
      </c>
      <c r="AL103" s="540"/>
      <c r="AM103" s="328">
        <f t="shared" si="229"/>
        <v>0</v>
      </c>
      <c r="AN103" s="328">
        <f t="shared" si="229"/>
        <v>0</v>
      </c>
      <c r="AO103" s="328">
        <f t="shared" si="229"/>
        <v>0</v>
      </c>
      <c r="AP103" s="328">
        <f t="shared" si="229"/>
        <v>0</v>
      </c>
      <c r="AQ103" s="394">
        <f t="shared" si="225"/>
        <v>0</v>
      </c>
      <c r="AS103" s="391">
        <f t="shared" si="229"/>
        <v>0</v>
      </c>
      <c r="AT103" s="328">
        <f t="shared" si="229"/>
        <v>0</v>
      </c>
      <c r="AU103" s="328">
        <f t="shared" si="229"/>
        <v>0</v>
      </c>
      <c r="AV103" s="328">
        <f t="shared" si="229"/>
        <v>0</v>
      </c>
      <c r="AW103" s="329">
        <f t="shared" si="229"/>
        <v>0</v>
      </c>
      <c r="AY103" s="391">
        <f t="shared" si="229"/>
        <v>0</v>
      </c>
      <c r="AZ103" s="328">
        <f t="shared" si="229"/>
        <v>0</v>
      </c>
      <c r="BA103" s="328">
        <f t="shared" si="229"/>
        <v>0</v>
      </c>
      <c r="BB103" s="328">
        <f t="shared" si="229"/>
        <v>0</v>
      </c>
      <c r="BC103" s="329">
        <f t="shared" si="229"/>
        <v>0</v>
      </c>
      <c r="BE103" s="391">
        <f t="shared" si="229"/>
        <v>0</v>
      </c>
      <c r="BF103" s="328">
        <f t="shared" si="229"/>
        <v>0</v>
      </c>
      <c r="BG103" s="328">
        <f t="shared" si="229"/>
        <v>0</v>
      </c>
      <c r="BH103" s="328">
        <f t="shared" si="229"/>
        <v>0</v>
      </c>
      <c r="BI103" s="329">
        <f t="shared" si="229"/>
        <v>0</v>
      </c>
      <c r="BK103" s="391">
        <f t="shared" si="229"/>
        <v>0</v>
      </c>
      <c r="BL103" s="328">
        <f t="shared" si="229"/>
        <v>0</v>
      </c>
      <c r="BM103" s="328">
        <f t="shared" si="229"/>
        <v>0</v>
      </c>
      <c r="BN103" s="328">
        <f t="shared" si="229"/>
        <v>0</v>
      </c>
      <c r="BO103" s="329">
        <f t="shared" si="229"/>
        <v>0</v>
      </c>
    </row>
    <row r="104" spans="1:67" ht="15.75" thickBot="1">
      <c r="A104" s="38"/>
      <c r="C104" s="439"/>
      <c r="D104" s="328"/>
      <c r="E104" s="328"/>
      <c r="F104" s="328"/>
      <c r="G104" s="328"/>
      <c r="I104" s="39"/>
      <c r="J104" s="39"/>
      <c r="K104" s="39"/>
      <c r="L104" s="39"/>
      <c r="M104" s="39"/>
      <c r="O104" s="39"/>
      <c r="P104" s="39"/>
      <c r="Q104" s="39"/>
      <c r="R104" s="39"/>
      <c r="S104" s="39"/>
      <c r="U104" s="39"/>
      <c r="V104" s="39"/>
      <c r="W104" s="39"/>
      <c r="X104" s="39"/>
      <c r="Y104" s="39"/>
      <c r="AA104" s="39"/>
      <c r="AB104" s="39"/>
      <c r="AC104" s="39"/>
      <c r="AD104" s="39"/>
      <c r="AE104" s="39"/>
      <c r="AG104" s="39"/>
      <c r="AH104" s="39"/>
      <c r="AI104" s="39"/>
      <c r="AJ104" s="39"/>
      <c r="AK104" s="39"/>
      <c r="AL104" s="504"/>
      <c r="AM104" s="39"/>
      <c r="AN104" s="39"/>
      <c r="AO104" s="39"/>
      <c r="AP104" s="39"/>
      <c r="AQ104" s="22"/>
      <c r="AS104" s="39"/>
      <c r="AT104" s="39"/>
      <c r="AU104" s="39"/>
      <c r="AV104" s="39"/>
      <c r="AW104" s="39"/>
      <c r="AY104" s="39"/>
      <c r="AZ104" s="39"/>
      <c r="BA104" s="39"/>
      <c r="BB104" s="39"/>
      <c r="BC104" s="39"/>
      <c r="BE104" s="39"/>
      <c r="BF104" s="39"/>
      <c r="BG104" s="39"/>
      <c r="BH104" s="39"/>
      <c r="BI104" s="39"/>
      <c r="BK104" s="39"/>
      <c r="BL104" s="39"/>
      <c r="BM104" s="39"/>
      <c r="BN104" s="39"/>
      <c r="BO104" s="39"/>
    </row>
    <row r="105" spans="1:67" ht="17.25" thickBot="1">
      <c r="A105" s="320" t="s">
        <v>120</v>
      </c>
      <c r="C105" s="346"/>
      <c r="D105" s="321"/>
      <c r="E105" s="321"/>
      <c r="F105" s="322"/>
      <c r="G105" s="323"/>
      <c r="I105" s="361"/>
      <c r="J105" s="362"/>
      <c r="K105" s="362"/>
      <c r="L105" s="363"/>
      <c r="M105" s="364"/>
      <c r="O105" s="361"/>
      <c r="P105" s="362"/>
      <c r="Q105" s="362"/>
      <c r="R105" s="363"/>
      <c r="S105" s="364"/>
      <c r="U105" s="361"/>
      <c r="V105" s="362"/>
      <c r="W105" s="362"/>
      <c r="X105" s="363"/>
      <c r="Y105" s="364"/>
      <c r="AA105" s="361"/>
      <c r="AB105" s="362"/>
      <c r="AC105" s="362"/>
      <c r="AD105" s="363"/>
      <c r="AE105" s="364"/>
      <c r="AG105" s="361"/>
      <c r="AH105" s="362"/>
      <c r="AI105" s="362"/>
      <c r="AJ105" s="363"/>
      <c r="AK105" s="364"/>
      <c r="AL105" s="504"/>
      <c r="AM105" s="382"/>
      <c r="AN105" s="363"/>
      <c r="AO105" s="363"/>
      <c r="AP105" s="363"/>
      <c r="AQ105" s="383"/>
      <c r="AS105" s="382"/>
      <c r="AT105" s="363"/>
      <c r="AU105" s="363"/>
      <c r="AV105" s="363"/>
      <c r="AW105" s="383"/>
      <c r="AY105" s="382"/>
      <c r="AZ105" s="363"/>
      <c r="BA105" s="363"/>
      <c r="BB105" s="363"/>
      <c r="BC105" s="383"/>
      <c r="BE105" s="382"/>
      <c r="BF105" s="363"/>
      <c r="BG105" s="363"/>
      <c r="BH105" s="363"/>
      <c r="BI105" s="383"/>
      <c r="BK105" s="382"/>
      <c r="BL105" s="363"/>
      <c r="BM105" s="363"/>
      <c r="BN105" s="363"/>
      <c r="BO105" s="383"/>
    </row>
    <row r="106" spans="1:67">
      <c r="A106" s="474" t="s">
        <v>123</v>
      </c>
      <c r="C106" s="395"/>
      <c r="D106" s="18"/>
      <c r="E106" s="18"/>
      <c r="G106" s="308"/>
      <c r="I106" s="378"/>
      <c r="M106" s="308"/>
      <c r="O106" s="378"/>
      <c r="S106" s="308"/>
      <c r="U106" s="378"/>
      <c r="Y106" s="308"/>
      <c r="AA106" s="378"/>
      <c r="AE106" s="308"/>
      <c r="AG106" s="378"/>
      <c r="AK106" s="525"/>
      <c r="AL106" s="540"/>
      <c r="AQ106" s="392"/>
      <c r="AS106" s="378"/>
      <c r="AW106" s="392"/>
      <c r="AY106" s="378"/>
      <c r="BC106" s="392"/>
      <c r="BE106" s="378"/>
      <c r="BI106" s="392"/>
      <c r="BK106" s="378"/>
      <c r="BO106" s="392"/>
    </row>
    <row r="107" spans="1:67">
      <c r="A107" s="469" t="s">
        <v>80</v>
      </c>
      <c r="C107" s="395"/>
      <c r="D107" s="18"/>
      <c r="E107" s="18"/>
      <c r="G107" s="308"/>
      <c r="I107" s="378"/>
      <c r="M107" s="308"/>
      <c r="O107" s="378"/>
      <c r="S107" s="308"/>
      <c r="U107" s="378"/>
      <c r="Y107" s="308"/>
      <c r="AA107" s="378"/>
      <c r="AE107" s="308"/>
      <c r="AG107" s="378"/>
      <c r="AK107" s="525"/>
      <c r="AL107" s="540"/>
      <c r="AM107" s="5">
        <f>AM38</f>
        <v>62043.006581677364</v>
      </c>
      <c r="AN107" s="5">
        <f>AN38</f>
        <v>118466.1776622271</v>
      </c>
      <c r="AO107" s="5">
        <f>AO38</f>
        <v>117022.66851671982</v>
      </c>
      <c r="AP107" s="5">
        <f>AP38</f>
        <v>76858.987057649778</v>
      </c>
      <c r="AQ107" s="307">
        <f>AQ38</f>
        <v>460258.44303677307</v>
      </c>
      <c r="AS107" s="377">
        <f>AS38</f>
        <v>73508.078090630472</v>
      </c>
      <c r="AT107" s="5">
        <f>AT38</f>
        <v>129848.24785938753</v>
      </c>
      <c r="AU107" s="5">
        <f>AU38</f>
        <v>127231.32649713362</v>
      </c>
      <c r="AV107" s="5">
        <f>AV38</f>
        <v>87388.782073471884</v>
      </c>
      <c r="AW107" s="307">
        <f>AW38</f>
        <v>500364.15040832892</v>
      </c>
      <c r="AY107" s="377">
        <f>AY38</f>
        <v>76362.044056565996</v>
      </c>
      <c r="AZ107" s="5">
        <f>AZ38</f>
        <v>128429.70534424206</v>
      </c>
      <c r="BA107" s="5">
        <f>BA38</f>
        <v>128707.20334325958</v>
      </c>
      <c r="BB107" s="5">
        <f>BB38</f>
        <v>110410.07230345746</v>
      </c>
      <c r="BC107" s="307">
        <f>BC38</f>
        <v>523064.4086702757</v>
      </c>
      <c r="BE107" s="377">
        <f>BE38</f>
        <v>89658.983747112143</v>
      </c>
      <c r="BF107" s="5">
        <f>BF38</f>
        <v>165274.07547094606</v>
      </c>
      <c r="BG107" s="5">
        <f>BG38</f>
        <v>159019.33936452804</v>
      </c>
      <c r="BH107" s="5">
        <f>BH38</f>
        <v>134382.66317465273</v>
      </c>
      <c r="BI107" s="307">
        <f>BI38</f>
        <v>623881.16574896453</v>
      </c>
      <c r="BK107" s="377">
        <f>BK38</f>
        <v>94813.490477865605</v>
      </c>
      <c r="BL107" s="5">
        <f>BL38</f>
        <v>175798.22507113271</v>
      </c>
      <c r="BM107" s="5">
        <f>BM38</f>
        <v>168142.18685127125</v>
      </c>
      <c r="BN107" s="5">
        <f>BN38</f>
        <v>121796.90730187841</v>
      </c>
      <c r="BO107" s="307">
        <f>BO38</f>
        <v>633295.5750651093</v>
      </c>
    </row>
    <row r="108" spans="1:67">
      <c r="A108" s="467" t="s">
        <v>5</v>
      </c>
      <c r="C108" s="396">
        <v>72412</v>
      </c>
      <c r="D108" s="5">
        <v>71531</v>
      </c>
      <c r="E108" s="5">
        <v>72989</v>
      </c>
      <c r="F108" s="5">
        <v>71490</v>
      </c>
      <c r="G108" s="307">
        <f>SUM(C108:F108)</f>
        <v>288422</v>
      </c>
      <c r="I108" s="396">
        <v>74844</v>
      </c>
      <c r="J108" s="5">
        <v>72760</v>
      </c>
      <c r="K108" s="5">
        <v>73082</v>
      </c>
      <c r="L108" s="5">
        <v>77939</v>
      </c>
      <c r="M108" s="307">
        <f>SUM(I108:L108)</f>
        <v>298625</v>
      </c>
      <c r="O108" s="396">
        <v>75355</v>
      </c>
      <c r="P108" s="5">
        <v>74217</v>
      </c>
      <c r="Q108" s="5">
        <v>73756</v>
      </c>
      <c r="R108" s="5">
        <v>77397</v>
      </c>
      <c r="S108" s="307">
        <f>SUM(O108:R108)</f>
        <v>300725</v>
      </c>
      <c r="U108" s="396">
        <v>74533</v>
      </c>
      <c r="V108" s="5">
        <v>72494</v>
      </c>
      <c r="W108" s="5">
        <v>74470</v>
      </c>
      <c r="X108" s="5">
        <v>71418</v>
      </c>
      <c r="Y108" s="307">
        <f>SUM(U108:X108)</f>
        <v>292915</v>
      </c>
      <c r="AA108" s="396">
        <v>72163</v>
      </c>
      <c r="AB108" s="5">
        <v>71592</v>
      </c>
      <c r="AC108" s="5">
        <v>71451</v>
      </c>
      <c r="AD108" s="5">
        <v>82929</v>
      </c>
      <c r="AE108" s="307">
        <f>SUM(AA108:AD108)</f>
        <v>298135</v>
      </c>
      <c r="AG108" s="396">
        <v>84298</v>
      </c>
      <c r="AH108" s="5">
        <v>87868</v>
      </c>
      <c r="AI108" s="5">
        <v>88394</v>
      </c>
      <c r="AJ108" s="5">
        <v>87034</v>
      </c>
      <c r="AK108" s="528">
        <f>SUM(AG108:AJ108)</f>
        <v>347594</v>
      </c>
      <c r="AL108" s="540"/>
      <c r="AM108" s="5">
        <f>AM30</f>
        <v>88873.815880284412</v>
      </c>
      <c r="AN108" s="5">
        <f>AN30</f>
        <v>97757.413357443176</v>
      </c>
      <c r="AO108" s="5">
        <f>AO30</f>
        <v>96435.473639580334</v>
      </c>
      <c r="AP108" s="5">
        <f>AP30</f>
        <v>93327.118947435956</v>
      </c>
      <c r="AQ108" s="307">
        <f>AQ30</f>
        <v>376393.82182474388</v>
      </c>
      <c r="AS108" s="377">
        <f>AS30</f>
        <v>104878.31172864181</v>
      </c>
      <c r="AT108" s="5">
        <f>AT30</f>
        <v>125583.7764371979</v>
      </c>
      <c r="AU108" s="5">
        <f>AU30</f>
        <v>123490.56806879534</v>
      </c>
      <c r="AV108" s="5">
        <f>AV30</f>
        <v>115144.90731811314</v>
      </c>
      <c r="AW108" s="307">
        <f>AW30</f>
        <v>469097.56355274818</v>
      </c>
      <c r="AY108" s="377">
        <f>AY30</f>
        <v>129111.36796221841</v>
      </c>
      <c r="AZ108" s="5">
        <f>AZ30</f>
        <v>144922.87914962764</v>
      </c>
      <c r="BA108" s="5">
        <f>BA30</f>
        <v>137665.14557116988</v>
      </c>
      <c r="BB108" s="5">
        <f>BB30</f>
        <v>129797.89951303307</v>
      </c>
      <c r="BC108" s="307">
        <f>BC30</f>
        <v>541497.29219604901</v>
      </c>
      <c r="BE108" s="377">
        <f>BE30</f>
        <v>142765.01137415183</v>
      </c>
      <c r="BF108" s="5">
        <f>BF30</f>
        <v>170182.53342793553</v>
      </c>
      <c r="BG108" s="5">
        <f>BG30</f>
        <v>158775.99175679227</v>
      </c>
      <c r="BH108" s="5">
        <f>BH30</f>
        <v>151148.73877115268</v>
      </c>
      <c r="BI108" s="307">
        <f>BI30</f>
        <v>622872.27533003234</v>
      </c>
      <c r="BK108" s="377">
        <f>BK30</f>
        <v>182139.28462716303</v>
      </c>
      <c r="BL108" s="5">
        <f>BL30</f>
        <v>214261.43947800453</v>
      </c>
      <c r="BM108" s="5">
        <f>BM30</f>
        <v>198006.08617554035</v>
      </c>
      <c r="BN108" s="5">
        <f>BN30</f>
        <v>181550.21095400452</v>
      </c>
      <c r="BO108" s="307">
        <f>BO30</f>
        <v>775957.02123471245</v>
      </c>
    </row>
    <row r="109" spans="1:67">
      <c r="A109" s="469" t="s">
        <v>124</v>
      </c>
      <c r="C109" s="395"/>
      <c r="D109" s="18"/>
      <c r="E109" s="18"/>
      <c r="G109" s="308"/>
      <c r="I109" s="378"/>
      <c r="M109" s="308"/>
      <c r="O109" s="378"/>
      <c r="S109" s="308"/>
      <c r="U109" s="378"/>
      <c r="Y109" s="308"/>
      <c r="AA109" s="378"/>
      <c r="AE109" s="308"/>
      <c r="AG109" s="378"/>
      <c r="AK109" s="525"/>
      <c r="AL109" s="540"/>
      <c r="AM109" s="5">
        <f>AK64-AM64</f>
        <v>19648.358834672254</v>
      </c>
      <c r="AN109" s="5">
        <f t="shared" ref="AN109:BO109" si="230">AM64-AN64</f>
        <v>-151999.90405911463</v>
      </c>
      <c r="AO109" s="5">
        <f t="shared" si="230"/>
        <v>3559.0378103582188</v>
      </c>
      <c r="AP109" s="5">
        <f t="shared" si="230"/>
        <v>91536.998264813796</v>
      </c>
      <c r="AQ109" s="307">
        <f>AP64-AQ64</f>
        <v>0</v>
      </c>
      <c r="AS109" s="377">
        <f>AQ64-AS64</f>
        <v>-65558.039777795086</v>
      </c>
      <c r="AT109" s="5">
        <f t="shared" si="230"/>
        <v>-163468.90798751684</v>
      </c>
      <c r="AU109" s="5">
        <f t="shared" si="230"/>
        <v>12218.30212292145</v>
      </c>
      <c r="AV109" s="5">
        <f t="shared" si="230"/>
        <v>90403.772573154652</v>
      </c>
      <c r="AW109" s="307">
        <f t="shared" si="230"/>
        <v>0</v>
      </c>
      <c r="AY109" s="377">
        <f>AW64-AY64</f>
        <v>-84202.001226111781</v>
      </c>
      <c r="AZ109" s="5">
        <f t="shared" si="230"/>
        <v>-187202.10223695287</v>
      </c>
      <c r="BA109" s="5">
        <f t="shared" si="230"/>
        <v>36664.307993774302</v>
      </c>
      <c r="BB109" s="5">
        <f t="shared" si="230"/>
        <v>83081.596457437379</v>
      </c>
      <c r="BC109" s="307">
        <f t="shared" si="230"/>
        <v>0</v>
      </c>
      <c r="BE109" s="377">
        <f>BC64-BE64</f>
        <v>-96932.605615877314</v>
      </c>
      <c r="BF109" s="5">
        <f t="shared" si="230"/>
        <v>-271621.87581815128</v>
      </c>
      <c r="BG109" s="5">
        <f t="shared" si="230"/>
        <v>68151.066294865916</v>
      </c>
      <c r="BH109" s="5">
        <f t="shared" si="230"/>
        <v>90105.409379715566</v>
      </c>
      <c r="BI109" s="307">
        <f t="shared" si="230"/>
        <v>0</v>
      </c>
      <c r="BK109" s="377">
        <f>BI64-BK64</f>
        <v>-135438.80577927292</v>
      </c>
      <c r="BL109" s="5">
        <f t="shared" si="230"/>
        <v>-329784.92064166046</v>
      </c>
      <c r="BM109" s="5">
        <f t="shared" si="230"/>
        <v>96778.397501244675</v>
      </c>
      <c r="BN109" s="5">
        <f t="shared" si="230"/>
        <v>192157.38232687442</v>
      </c>
      <c r="BO109" s="307">
        <f t="shared" si="230"/>
        <v>0</v>
      </c>
    </row>
    <row r="110" spans="1:67">
      <c r="A110" s="469" t="s">
        <v>125</v>
      </c>
      <c r="C110" s="395"/>
      <c r="D110" s="18"/>
      <c r="E110" s="18"/>
      <c r="G110" s="308"/>
      <c r="I110" s="378"/>
      <c r="M110" s="308"/>
      <c r="O110" s="378"/>
      <c r="S110" s="308"/>
      <c r="U110" s="378"/>
      <c r="Y110" s="308"/>
      <c r="AA110" s="378"/>
      <c r="AE110" s="308"/>
      <c r="AG110" s="378"/>
      <c r="AK110" s="525"/>
      <c r="AL110" s="540"/>
      <c r="AM110" s="5">
        <f>AK67-AM67</f>
        <v>17833.727182499308</v>
      </c>
      <c r="AN110" s="5">
        <f t="shared" ref="AN110:BO110" si="231">AM67-AN67</f>
        <v>-64585.495092669618</v>
      </c>
      <c r="AO110" s="5">
        <f t="shared" si="231"/>
        <v>4836.0184278232628</v>
      </c>
      <c r="AP110" s="5">
        <f t="shared" si="231"/>
        <v>33639.563811048516</v>
      </c>
      <c r="AQ110" s="307">
        <f>AP67-AQ67</f>
        <v>0</v>
      </c>
      <c r="AS110" s="377">
        <f>AQ67-AS67</f>
        <v>-7177.2079124986776</v>
      </c>
      <c r="AT110" s="5">
        <f t="shared" si="231"/>
        <v>-76083.820255517843</v>
      </c>
      <c r="AU110" s="5">
        <f t="shared" si="231"/>
        <v>6852.8195283295936</v>
      </c>
      <c r="AV110" s="5">
        <f t="shared" si="231"/>
        <v>33280.957994483586</v>
      </c>
      <c r="AW110" s="307">
        <f t="shared" si="231"/>
        <v>0</v>
      </c>
      <c r="AY110" s="377">
        <f>AW67-AY67</f>
        <v>-11456.261728445243</v>
      </c>
      <c r="AZ110" s="5">
        <f t="shared" si="231"/>
        <v>-86641.358197916532</v>
      </c>
      <c r="BA110" s="5">
        <f t="shared" si="231"/>
        <v>14434.128490226227</v>
      </c>
      <c r="BB110" s="5">
        <f t="shared" si="231"/>
        <v>31980.773851130274</v>
      </c>
      <c r="BC110" s="307">
        <f t="shared" si="231"/>
        <v>0</v>
      </c>
      <c r="BE110" s="377">
        <f>BC67-BE67</f>
        <v>-13797.134599545505</v>
      </c>
      <c r="BF110" s="5">
        <f t="shared" si="231"/>
        <v>-119638.47394782351</v>
      </c>
      <c r="BG110" s="5">
        <f t="shared" si="231"/>
        <v>27447.702025893144</v>
      </c>
      <c r="BH110" s="5">
        <f t="shared" si="231"/>
        <v>33629.470341882901</v>
      </c>
      <c r="BI110" s="307">
        <f t="shared" si="231"/>
        <v>0</v>
      </c>
      <c r="BK110" s="377">
        <f>BI67-BK67</f>
        <v>-20793.403098793584</v>
      </c>
      <c r="BL110" s="5">
        <f t="shared" si="231"/>
        <v>-122801.68735908146</v>
      </c>
      <c r="BM110" s="5">
        <f t="shared" si="231"/>
        <v>32248.82923705643</v>
      </c>
      <c r="BN110" s="5">
        <f t="shared" si="231"/>
        <v>60131.919712897739</v>
      </c>
      <c r="BO110" s="307">
        <f t="shared" si="231"/>
        <v>0</v>
      </c>
    </row>
    <row r="111" spans="1:67">
      <c r="A111" s="469" t="s">
        <v>131</v>
      </c>
      <c r="C111" s="395"/>
      <c r="D111" s="18"/>
      <c r="E111" s="18"/>
      <c r="G111" s="308"/>
      <c r="I111" s="378"/>
      <c r="M111" s="308"/>
      <c r="O111" s="378"/>
      <c r="S111" s="308"/>
      <c r="U111" s="378"/>
      <c r="Y111" s="308"/>
      <c r="AA111" s="378"/>
      <c r="AE111" s="308"/>
      <c r="AG111" s="378"/>
      <c r="AK111" s="525"/>
      <c r="AL111" s="540"/>
      <c r="AM111" s="5">
        <f>AK68-AM68</f>
        <v>-6306.4553885734349</v>
      </c>
      <c r="AN111" s="5">
        <f t="shared" ref="AN111:BO111" si="232">AM68-AN68</f>
        <v>-8436.1669057002873</v>
      </c>
      <c r="AO111" s="5">
        <f t="shared" si="232"/>
        <v>15288.535739751009</v>
      </c>
      <c r="AP111" s="5">
        <f t="shared" si="232"/>
        <v>-961.44113321900659</v>
      </c>
      <c r="AQ111" s="307">
        <f>AP68-AQ68</f>
        <v>0</v>
      </c>
      <c r="AS111" s="377">
        <f>AQ68-AS68</f>
        <v>-14000.147144912</v>
      </c>
      <c r="AT111" s="5">
        <f t="shared" si="232"/>
        <v>-15763.105801781785</v>
      </c>
      <c r="AU111" s="5">
        <f t="shared" si="232"/>
        <v>18710.119492258309</v>
      </c>
      <c r="AV111" s="5">
        <f t="shared" si="232"/>
        <v>-2358.0153637982294</v>
      </c>
      <c r="AW111" s="307">
        <f t="shared" si="232"/>
        <v>0</v>
      </c>
      <c r="AY111" s="377">
        <f>AW68-AY68</f>
        <v>-17950.672156631932</v>
      </c>
      <c r="AZ111" s="5">
        <f t="shared" si="232"/>
        <v>-20980.398708406356</v>
      </c>
      <c r="BA111" s="5">
        <f t="shared" si="232"/>
        <v>25988.880958186754</v>
      </c>
      <c r="BB111" s="5">
        <f t="shared" si="232"/>
        <v>-3043.014287664264</v>
      </c>
      <c r="BC111" s="307">
        <f t="shared" si="232"/>
        <v>0</v>
      </c>
      <c r="BE111" s="377">
        <f>BC68-BE68</f>
        <v>-22037.191514119739</v>
      </c>
      <c r="BF111" s="5">
        <f t="shared" si="232"/>
        <v>-32833.120967644471</v>
      </c>
      <c r="BG111" s="5">
        <f t="shared" si="232"/>
        <v>35249.407682709687</v>
      </c>
      <c r="BH111" s="5">
        <f t="shared" si="232"/>
        <v>-1782.795518278057</v>
      </c>
      <c r="BI111" s="307">
        <f t="shared" si="232"/>
        <v>0</v>
      </c>
      <c r="BK111" s="377">
        <f>BI68-BK68</f>
        <v>-33017.533464908105</v>
      </c>
      <c r="BL111" s="5">
        <f t="shared" si="232"/>
        <v>-24449.304542126076</v>
      </c>
      <c r="BM111" s="5">
        <f t="shared" si="232"/>
        <v>40525.640006268834</v>
      </c>
      <c r="BN111" s="5">
        <f t="shared" si="232"/>
        <v>6900.9236773072626</v>
      </c>
      <c r="BO111" s="307">
        <f t="shared" si="232"/>
        <v>0</v>
      </c>
    </row>
    <row r="112" spans="1:67">
      <c r="A112" s="469" t="s">
        <v>126</v>
      </c>
      <c r="C112" s="395"/>
      <c r="D112" s="18"/>
      <c r="E112" s="18"/>
      <c r="G112" s="308"/>
      <c r="I112" s="378"/>
      <c r="M112" s="308"/>
      <c r="O112" s="378"/>
      <c r="S112" s="308"/>
      <c r="U112" s="378"/>
      <c r="Y112" s="308"/>
      <c r="AA112" s="378"/>
      <c r="AE112" s="308"/>
      <c r="AG112" s="378"/>
      <c r="AK112" s="525"/>
      <c r="AL112" s="540"/>
      <c r="AM112" s="5">
        <f>AM80-AK80</f>
        <v>-39753.009123452182</v>
      </c>
      <c r="AN112" s="5">
        <f t="shared" ref="AN112:BO112" si="233">AN80-AM80</f>
        <v>70442.852882075531</v>
      </c>
      <c r="AO112" s="5">
        <f t="shared" si="233"/>
        <v>-22856.714049882255</v>
      </c>
      <c r="AP112" s="5">
        <f t="shared" si="233"/>
        <v>-28213.908775352582</v>
      </c>
      <c r="AQ112" s="307">
        <f>AQ80-AP80</f>
        <v>0</v>
      </c>
      <c r="AS112" s="377">
        <f>AS80-AQ80</f>
        <v>-1857.7451383153675</v>
      </c>
      <c r="AT112" s="5">
        <f t="shared" si="233"/>
        <v>72202.572680906509</v>
      </c>
      <c r="AU112" s="5">
        <f t="shared" si="233"/>
        <v>7468.4201342909364</v>
      </c>
      <c r="AV112" s="5">
        <f t="shared" si="233"/>
        <v>-22354.96136723872</v>
      </c>
      <c r="AW112" s="307">
        <f t="shared" si="233"/>
        <v>0</v>
      </c>
      <c r="AY112" s="377">
        <f>AY80-AW80</f>
        <v>-2161.5730464676744</v>
      </c>
      <c r="AZ112" s="5">
        <f t="shared" si="233"/>
        <v>79778.682965392072</v>
      </c>
      <c r="BA112" s="5">
        <f t="shared" si="233"/>
        <v>4100.126836874173</v>
      </c>
      <c r="BB112" s="5">
        <f t="shared" si="233"/>
        <v>-22712.115582473925</v>
      </c>
      <c r="BC112" s="307">
        <f t="shared" si="233"/>
        <v>0</v>
      </c>
      <c r="BE112" s="377">
        <f>BE80-BC80</f>
        <v>7855.3609177402686</v>
      </c>
      <c r="BF112" s="5">
        <f t="shared" si="233"/>
        <v>107542.93439215107</v>
      </c>
      <c r="BG112" s="5">
        <f t="shared" si="233"/>
        <v>-9764.3839404175524</v>
      </c>
      <c r="BH112" s="5">
        <f t="shared" si="233"/>
        <v>-24532.644816265791</v>
      </c>
      <c r="BI112" s="307">
        <f t="shared" si="233"/>
        <v>0</v>
      </c>
      <c r="BK112" s="377">
        <f>BK80-BI80</f>
        <v>25642.69145079609</v>
      </c>
      <c r="BL112" s="5">
        <f t="shared" si="233"/>
        <v>149730.5930735399</v>
      </c>
      <c r="BM112" s="5">
        <f t="shared" si="233"/>
        <v>-26577.849808204919</v>
      </c>
      <c r="BN112" s="5">
        <f t="shared" si="233"/>
        <v>-47717.451487708837</v>
      </c>
      <c r="BO112" s="307">
        <f t="shared" si="233"/>
        <v>0</v>
      </c>
    </row>
    <row r="113" spans="1:67">
      <c r="A113" s="475" t="s">
        <v>128</v>
      </c>
      <c r="C113" s="397"/>
      <c r="D113" s="4"/>
      <c r="E113" s="4"/>
      <c r="F113" s="19"/>
      <c r="G113" s="310"/>
      <c r="I113" s="407"/>
      <c r="J113" s="19"/>
      <c r="K113" s="19"/>
      <c r="L113" s="19"/>
      <c r="M113" s="310"/>
      <c r="O113" s="407"/>
      <c r="P113" s="19"/>
      <c r="Q113" s="19"/>
      <c r="R113" s="19"/>
      <c r="S113" s="310"/>
      <c r="U113" s="407"/>
      <c r="V113" s="19"/>
      <c r="W113" s="19"/>
      <c r="X113" s="19"/>
      <c r="Y113" s="310"/>
      <c r="AA113" s="407"/>
      <c r="AB113" s="19"/>
      <c r="AC113" s="19"/>
      <c r="AD113" s="19"/>
      <c r="AE113" s="310"/>
      <c r="AG113" s="407"/>
      <c r="AH113" s="19"/>
      <c r="AI113" s="19"/>
      <c r="AJ113" s="19"/>
      <c r="AK113" s="529"/>
      <c r="AL113" s="540"/>
      <c r="AM113" s="27">
        <f t="shared" ref="AM113:BO113" si="234">SUM(AM107:AM112)</f>
        <v>142339.44396710771</v>
      </c>
      <c r="AN113" s="27">
        <f t="shared" si="234"/>
        <v>61644.877844261267</v>
      </c>
      <c r="AO113" s="27">
        <f t="shared" si="234"/>
        <v>214285.02008435037</v>
      </c>
      <c r="AP113" s="27">
        <f t="shared" si="234"/>
        <v>266187.31817237649</v>
      </c>
      <c r="AQ113" s="367">
        <f t="shared" si="234"/>
        <v>836652.26486151689</v>
      </c>
      <c r="AS113" s="365">
        <f t="shared" si="234"/>
        <v>89793.249845751139</v>
      </c>
      <c r="AT113" s="27">
        <f t="shared" si="234"/>
        <v>72318.762932675454</v>
      </c>
      <c r="AU113" s="27">
        <f t="shared" si="234"/>
        <v>295971.55584372923</v>
      </c>
      <c r="AV113" s="27">
        <f t="shared" si="234"/>
        <v>301505.44322818628</v>
      </c>
      <c r="AW113" s="367">
        <f t="shared" si="234"/>
        <v>969461.71396107716</v>
      </c>
      <c r="AY113" s="365">
        <f t="shared" si="234"/>
        <v>89702.903861127779</v>
      </c>
      <c r="AZ113" s="27">
        <f t="shared" si="234"/>
        <v>58307.408315986002</v>
      </c>
      <c r="BA113" s="27">
        <f t="shared" si="234"/>
        <v>347559.79319349088</v>
      </c>
      <c r="BB113" s="27">
        <f t="shared" si="234"/>
        <v>329515.21225491998</v>
      </c>
      <c r="BC113" s="367">
        <f t="shared" si="234"/>
        <v>1064561.7008663248</v>
      </c>
      <c r="BE113" s="365">
        <f t="shared" si="234"/>
        <v>107512.42430946167</v>
      </c>
      <c r="BF113" s="27">
        <f t="shared" si="234"/>
        <v>18906.072557413398</v>
      </c>
      <c r="BG113" s="27">
        <f t="shared" si="234"/>
        <v>438879.12318437151</v>
      </c>
      <c r="BH113" s="27">
        <f t="shared" si="234"/>
        <v>382950.84133286006</v>
      </c>
      <c r="BI113" s="367">
        <f t="shared" si="234"/>
        <v>1246753.4410789968</v>
      </c>
      <c r="BK113" s="365">
        <f t="shared" si="234"/>
        <v>113345.72421285012</v>
      </c>
      <c r="BL113" s="27">
        <f t="shared" si="234"/>
        <v>62754.345079809136</v>
      </c>
      <c r="BM113" s="27">
        <f t="shared" si="234"/>
        <v>509123.28996317659</v>
      </c>
      <c r="BN113" s="27">
        <f t="shared" si="234"/>
        <v>514819.89248525351</v>
      </c>
      <c r="BO113" s="367">
        <f t="shared" si="234"/>
        <v>1409252.5962998217</v>
      </c>
    </row>
    <row r="114" spans="1:67">
      <c r="A114" s="470"/>
      <c r="C114" s="395"/>
      <c r="D114" s="18"/>
      <c r="E114" s="18"/>
      <c r="G114" s="308"/>
      <c r="I114" s="378"/>
      <c r="M114" s="308"/>
      <c r="O114" s="378"/>
      <c r="S114" s="308"/>
      <c r="U114" s="378"/>
      <c r="Y114" s="308"/>
      <c r="AA114" s="378"/>
      <c r="AE114" s="308"/>
      <c r="AG114" s="378"/>
      <c r="AK114" s="525"/>
      <c r="AL114" s="540"/>
      <c r="AQ114" s="308"/>
      <c r="AS114" s="378"/>
      <c r="AW114" s="308"/>
      <c r="AY114" s="378"/>
      <c r="BC114" s="308"/>
      <c r="BE114" s="378"/>
      <c r="BI114" s="308"/>
      <c r="BK114" s="378"/>
      <c r="BO114" s="308"/>
    </row>
    <row r="115" spans="1:67">
      <c r="A115" s="470" t="s">
        <v>347</v>
      </c>
      <c r="C115" s="378"/>
      <c r="G115" s="308"/>
      <c r="I115" s="378"/>
      <c r="M115" s="308"/>
      <c r="O115" s="378"/>
      <c r="S115" s="308"/>
      <c r="U115" s="378"/>
      <c r="Y115" s="308"/>
      <c r="AA115" s="378"/>
      <c r="AE115" s="308"/>
      <c r="AG115" s="378"/>
      <c r="AK115" s="525"/>
      <c r="AL115" s="540"/>
      <c r="AQ115" s="392"/>
      <c r="AS115" s="378"/>
      <c r="AW115" s="392"/>
      <c r="AY115" s="378"/>
      <c r="BC115" s="392"/>
      <c r="BE115" s="378"/>
      <c r="BI115" s="392"/>
      <c r="BK115" s="378"/>
      <c r="BO115" s="392"/>
    </row>
    <row r="116" spans="1:67">
      <c r="A116" s="470" t="s">
        <v>348</v>
      </c>
      <c r="C116" s="378"/>
      <c r="G116" s="308"/>
      <c r="I116" s="378"/>
      <c r="M116" s="308"/>
      <c r="O116" s="378"/>
      <c r="S116" s="308"/>
      <c r="U116" s="378"/>
      <c r="Y116" s="308"/>
      <c r="AA116" s="378"/>
      <c r="AE116" s="308"/>
      <c r="AG116" s="378"/>
      <c r="AK116" s="525"/>
      <c r="AL116" s="540"/>
      <c r="AM116" s="5">
        <f>AM79-AJ79</f>
        <v>-2037.1045869474565</v>
      </c>
      <c r="AN116" s="5">
        <f>AN79-AM79</f>
        <v>3323.523539834483</v>
      </c>
      <c r="AO116" s="5">
        <f>AO79-AN79</f>
        <v>-186.48751116125641</v>
      </c>
      <c r="AP116" s="5">
        <f>AP79-AO79</f>
        <v>-2187.1603650034322</v>
      </c>
      <c r="AQ116" s="392"/>
      <c r="AS116" s="377">
        <f>AS79-AP79</f>
        <v>218.21400619197993</v>
      </c>
      <c r="AT116" s="5">
        <f>AT79-AS79</f>
        <v>3803.5608437068568</v>
      </c>
      <c r="AU116" s="5">
        <f>AU79-AT79</f>
        <v>-268.02577539149024</v>
      </c>
      <c r="AV116" s="5">
        <f>AV79-AU79</f>
        <v>-2398.1720131476359</v>
      </c>
      <c r="AW116" s="392"/>
      <c r="AY116" s="377">
        <f>AY79-AV79</f>
        <v>-63.838303972635913</v>
      </c>
      <c r="AZ116" s="5">
        <f>AZ79-AY79</f>
        <v>3403.3533238737909</v>
      </c>
      <c r="BA116" s="5">
        <f>BA79-AZ79</f>
        <v>-355.13035390192454</v>
      </c>
      <c r="BB116" s="5">
        <f>BB79-BA79</f>
        <v>-1293.0150338123167</v>
      </c>
      <c r="BC116" s="392"/>
      <c r="BE116" s="377">
        <f>BE79-BB79</f>
        <v>-516.54866821146243</v>
      </c>
      <c r="BF116" s="5">
        <f>BF79-BE79</f>
        <v>5050.9341541758095</v>
      </c>
      <c r="BG116" s="5">
        <f>BG79-BF79</f>
        <v>-882.18269851722289</v>
      </c>
      <c r="BH116" s="5">
        <f>BH79-BG79</f>
        <v>-1587.8192895535576</v>
      </c>
      <c r="BI116" s="392"/>
      <c r="BK116" s="377">
        <f>BK79-BH79</f>
        <v>-789.84175859211427</v>
      </c>
      <c r="BL116" s="5">
        <f>BL79-BK79</f>
        <v>5537.2774140679012</v>
      </c>
      <c r="BM116" s="5">
        <f>BM79-BL79</f>
        <v>-1122.1460811394172</v>
      </c>
      <c r="BN116" s="5">
        <f>BN79-BM79</f>
        <v>-3113.0536973088128</v>
      </c>
      <c r="BO116" s="392"/>
    </row>
    <row r="117" spans="1:67">
      <c r="A117" s="470" t="s">
        <v>349</v>
      </c>
      <c r="C117" s="378"/>
      <c r="G117" s="308"/>
      <c r="I117" s="378"/>
      <c r="M117" s="308"/>
      <c r="O117" s="378"/>
      <c r="S117" s="308"/>
      <c r="U117" s="378"/>
      <c r="Y117" s="308"/>
      <c r="AA117" s="378"/>
      <c r="AE117" s="308"/>
      <c r="AG117" s="378"/>
      <c r="AK117" s="525"/>
      <c r="AL117" s="540"/>
      <c r="AM117" s="5">
        <f>AM89-AJ89</f>
        <v>-7962.8954130527563</v>
      </c>
      <c r="AN117" s="5">
        <f>AN89-AM89</f>
        <v>-11286.418952886946</v>
      </c>
      <c r="AO117" s="5">
        <f>AO89-AN89</f>
        <v>-11099.931441725697</v>
      </c>
      <c r="AP117" s="5">
        <f>AP89-AO89</f>
        <v>-8912.7710767225362</v>
      </c>
      <c r="AQ117" s="392"/>
      <c r="AS117" s="377">
        <f>AS89-AP89</f>
        <v>-23960.458443181589</v>
      </c>
      <c r="AT117" s="5">
        <f>AT89-AS89</f>
        <v>-12934.545926621184</v>
      </c>
      <c r="AU117" s="5">
        <f>AU89-AT89</f>
        <v>-12666.520151229575</v>
      </c>
      <c r="AV117" s="5">
        <f>AV89-AU89</f>
        <v>-10268.348138081841</v>
      </c>
      <c r="AW117" s="392"/>
      <c r="AY117" s="377">
        <f>AY89-AV89</f>
        <v>-27201.400864152238</v>
      </c>
      <c r="AZ117" s="5">
        <f>AZ89-AY89</f>
        <v>-13607.863157983404</v>
      </c>
      <c r="BA117" s="5">
        <f>BA89-AZ89</f>
        <v>-13252.732804081403</v>
      </c>
      <c r="BB117" s="5">
        <f>BB89-BA89</f>
        <v>-11959.717770269141</v>
      </c>
      <c r="BC117" s="392"/>
      <c r="BE117" s="377">
        <f>BE89-BB89</f>
        <v>-29960.106660592835</v>
      </c>
      <c r="BF117" s="5">
        <f>BF89-BE89</f>
        <v>-16494.103256233502</v>
      </c>
      <c r="BG117" s="5">
        <f>BG89-BF89</f>
        <v>-15611.92055771593</v>
      </c>
      <c r="BH117" s="5">
        <f>BH89-BG89</f>
        <v>-14024.101268162485</v>
      </c>
      <c r="BI117" s="392"/>
      <c r="BK117" s="377">
        <f>BK89-BH89</f>
        <v>-34980.000052677467</v>
      </c>
      <c r="BL117" s="5">
        <f>BL89-BK89</f>
        <v>-18771.536923638545</v>
      </c>
      <c r="BM117" s="5">
        <f>BM89-BL89</f>
        <v>-17649.390842498746</v>
      </c>
      <c r="BN117" s="5">
        <f>BN89-BM89</f>
        <v>-14536.337145189987</v>
      </c>
      <c r="BO117" s="392"/>
    </row>
    <row r="118" spans="1:67" ht="15">
      <c r="A118" s="472" t="s">
        <v>350</v>
      </c>
      <c r="C118" s="398"/>
      <c r="D118" s="20"/>
      <c r="E118" s="20"/>
      <c r="F118" s="20"/>
      <c r="G118" s="311"/>
      <c r="I118" s="398"/>
      <c r="J118" s="20"/>
      <c r="K118" s="20"/>
      <c r="L118" s="20"/>
      <c r="M118" s="311"/>
      <c r="O118" s="398"/>
      <c r="P118" s="20"/>
      <c r="Q118" s="20"/>
      <c r="R118" s="20"/>
      <c r="S118" s="311"/>
      <c r="U118" s="398"/>
      <c r="V118" s="20"/>
      <c r="W118" s="20"/>
      <c r="X118" s="20"/>
      <c r="Y118" s="311"/>
      <c r="AA118" s="398"/>
      <c r="AB118" s="20"/>
      <c r="AC118" s="20"/>
      <c r="AD118" s="20"/>
      <c r="AE118" s="311"/>
      <c r="AG118" s="398"/>
      <c r="AH118" s="20"/>
      <c r="AI118" s="20"/>
      <c r="AJ118" s="20"/>
      <c r="AK118" s="530"/>
      <c r="AL118" s="540"/>
      <c r="AM118" s="27">
        <f>SUM(AM116:AM117)</f>
        <v>-10000.000000000213</v>
      </c>
      <c r="AN118" s="27">
        <f t="shared" ref="AN118:AP118" si="235">SUM(AN116:AN117)</f>
        <v>-7962.8954130524635</v>
      </c>
      <c r="AO118" s="27">
        <f t="shared" si="235"/>
        <v>-11286.418952886954</v>
      </c>
      <c r="AP118" s="27">
        <f t="shared" si="235"/>
        <v>-11099.931441725968</v>
      </c>
      <c r="AQ118" s="410"/>
      <c r="AS118" s="365">
        <f>SUM(AS116:AS117)</f>
        <v>-23742.244436989611</v>
      </c>
      <c r="AT118" s="27">
        <f t="shared" ref="AT118:AV118" si="236">SUM(AT116:AT117)</f>
        <v>-9130.985082914327</v>
      </c>
      <c r="AU118" s="27">
        <f t="shared" si="236"/>
        <v>-12934.545926621066</v>
      </c>
      <c r="AV118" s="27">
        <f t="shared" si="236"/>
        <v>-12666.520151229477</v>
      </c>
      <c r="AW118" s="410"/>
      <c r="AY118" s="365">
        <f>SUM(AY116:AY117)</f>
        <v>-27265.239168124874</v>
      </c>
      <c r="AZ118" s="27">
        <f t="shared" ref="AZ118:BB118" si="237">SUM(AZ116:AZ117)</f>
        <v>-10204.509834109613</v>
      </c>
      <c r="BA118" s="27">
        <f t="shared" si="237"/>
        <v>-13607.863157983327</v>
      </c>
      <c r="BB118" s="27">
        <f t="shared" si="237"/>
        <v>-13252.732804081457</v>
      </c>
      <c r="BC118" s="410"/>
      <c r="BE118" s="365">
        <f>SUM(BE116:BE117)</f>
        <v>-30476.6553288043</v>
      </c>
      <c r="BF118" s="27">
        <f t="shared" ref="BF118:BH118" si="238">SUM(BF116:BF117)</f>
        <v>-11443.169102057693</v>
      </c>
      <c r="BG118" s="27">
        <f t="shared" si="238"/>
        <v>-16494.103256233153</v>
      </c>
      <c r="BH118" s="27">
        <f t="shared" si="238"/>
        <v>-15611.920557716043</v>
      </c>
      <c r="BI118" s="410"/>
      <c r="BK118" s="365">
        <f>SUM(BK116:BK117)</f>
        <v>-35769.84181126958</v>
      </c>
      <c r="BL118" s="27">
        <f t="shared" ref="BL118:BN118" si="239">SUM(BL116:BL117)</f>
        <v>-13234.259509570644</v>
      </c>
      <c r="BM118" s="27">
        <f t="shared" si="239"/>
        <v>-18771.536923638163</v>
      </c>
      <c r="BN118" s="27">
        <f t="shared" si="239"/>
        <v>-17649.3908424988</v>
      </c>
      <c r="BO118" s="410"/>
    </row>
    <row r="119" spans="1:67">
      <c r="A119" s="470"/>
      <c r="C119" s="378"/>
      <c r="G119" s="308"/>
      <c r="I119" s="378"/>
      <c r="M119" s="308"/>
      <c r="O119" s="378"/>
      <c r="S119" s="308"/>
      <c r="U119" s="378"/>
      <c r="Y119" s="308"/>
      <c r="AA119" s="378"/>
      <c r="AE119" s="308"/>
      <c r="AG119" s="378"/>
      <c r="AK119" s="525"/>
      <c r="AL119" s="540"/>
      <c r="AQ119" s="392"/>
      <c r="AS119" s="378"/>
      <c r="AW119" s="392"/>
      <c r="AY119" s="378"/>
      <c r="BC119" s="392"/>
      <c r="BE119" s="378"/>
      <c r="BI119" s="392"/>
      <c r="BK119" s="378"/>
      <c r="BO119" s="392"/>
    </row>
    <row r="120" spans="1:67">
      <c r="A120" s="474" t="s">
        <v>130</v>
      </c>
      <c r="C120" s="395"/>
      <c r="D120" s="18"/>
      <c r="E120" s="18"/>
      <c r="G120" s="308"/>
      <c r="I120" s="378"/>
      <c r="M120" s="308"/>
      <c r="O120" s="378"/>
      <c r="S120" s="308"/>
      <c r="U120" s="378"/>
      <c r="Y120" s="308"/>
      <c r="AA120" s="378"/>
      <c r="AE120" s="308"/>
      <c r="AG120" s="378"/>
      <c r="AK120" s="525"/>
      <c r="AL120" s="540"/>
      <c r="AQ120" s="308"/>
      <c r="AS120" s="378"/>
      <c r="AW120" s="308"/>
      <c r="AY120" s="378"/>
      <c r="BC120" s="308"/>
      <c r="BE120" s="378"/>
      <c r="BI120" s="308"/>
      <c r="BK120" s="378"/>
      <c r="BO120" s="308"/>
    </row>
    <row r="121" spans="1:67">
      <c r="A121" s="467" t="s">
        <v>127</v>
      </c>
      <c r="C121" s="399">
        <v>-6796</v>
      </c>
      <c r="D121" s="37">
        <v>-5461</v>
      </c>
      <c r="E121" s="37">
        <v>-12208</v>
      </c>
      <c r="F121" s="37">
        <v>-24506</v>
      </c>
      <c r="G121" s="312">
        <f>SUM(C121:F121)</f>
        <v>-48971</v>
      </c>
      <c r="I121" s="399">
        <v>-14264</v>
      </c>
      <c r="J121" s="37">
        <v>-12218</v>
      </c>
      <c r="K121" s="37">
        <v>-7099</v>
      </c>
      <c r="L121" s="37">
        <v>-11499</v>
      </c>
      <c r="M121" s="312">
        <f>SUM(I121:L121)</f>
        <v>-45080</v>
      </c>
      <c r="O121" s="399">
        <v>-6324</v>
      </c>
      <c r="P121" s="37">
        <v>-4948</v>
      </c>
      <c r="Q121" s="37">
        <v>-5118</v>
      </c>
      <c r="R121" s="37">
        <v>-5000</v>
      </c>
      <c r="S121" s="312">
        <f>SUM(O121:R121)</f>
        <v>-21390</v>
      </c>
      <c r="U121" s="399">
        <v>-17341</v>
      </c>
      <c r="V121" s="37">
        <v>0</v>
      </c>
      <c r="W121" s="37">
        <v>-22201</v>
      </c>
      <c r="X121" s="37">
        <v>-35302</v>
      </c>
      <c r="Y121" s="312">
        <f>SUM(U121:X121)</f>
        <v>-74844</v>
      </c>
      <c r="AA121" s="399">
        <v>-26546</v>
      </c>
      <c r="AB121" s="37">
        <v>-18863</v>
      </c>
      <c r="AC121" s="37">
        <v>-3000</v>
      </c>
      <c r="AD121" s="37">
        <v>-6001</v>
      </c>
      <c r="AE121" s="312">
        <f>SUM(AA121:AD121)</f>
        <v>-54410</v>
      </c>
      <c r="AG121" s="399">
        <v>-3694</v>
      </c>
      <c r="AH121" s="37">
        <v>-30000</v>
      </c>
      <c r="AI121" s="37">
        <v>-10488</v>
      </c>
      <c r="AJ121" s="37">
        <v>-6001</v>
      </c>
      <c r="AK121" s="531">
        <f>SUM(AG121:AJ121)</f>
        <v>-50183</v>
      </c>
      <c r="AL121" s="540"/>
      <c r="AM121" s="5">
        <f>'Share Repurchase'!I6</f>
        <v>-33000</v>
      </c>
      <c r="AN121" s="5">
        <f>'Share Repurchase'!J6</f>
        <v>-33000</v>
      </c>
      <c r="AO121" s="5">
        <f>'Share Repurchase'!K6</f>
        <v>-33000</v>
      </c>
      <c r="AP121" s="5">
        <f>'Share Repurchase'!L6</f>
        <v>-33000</v>
      </c>
      <c r="AQ121" s="307"/>
      <c r="AS121" s="377">
        <f>'Share Repurchase'!N6</f>
        <v>-33000</v>
      </c>
      <c r="AT121" s="5">
        <f>'Share Repurchase'!O6</f>
        <v>-33000</v>
      </c>
      <c r="AU121" s="5">
        <f>'Share Repurchase'!P6</f>
        <v>-33000</v>
      </c>
      <c r="AV121" s="5">
        <f>'Share Repurchase'!Q6</f>
        <v>-33000</v>
      </c>
      <c r="AW121" s="307"/>
      <c r="AY121" s="377">
        <f>'Share Repurchase'!S6</f>
        <v>-33000</v>
      </c>
      <c r="AZ121" s="5">
        <f>'Share Repurchase'!T6</f>
        <v>-33000</v>
      </c>
      <c r="BA121" s="5">
        <f>'Share Repurchase'!U6</f>
        <v>-33000</v>
      </c>
      <c r="BB121" s="5">
        <f>'Share Repurchase'!V6</f>
        <v>-33000</v>
      </c>
      <c r="BC121" s="307"/>
      <c r="BE121" s="377">
        <f>'Share Repurchase'!X6</f>
        <v>-33000</v>
      </c>
      <c r="BF121" s="5">
        <f>'Share Repurchase'!Y6</f>
        <v>-33000</v>
      </c>
      <c r="BG121" s="5">
        <f>'Share Repurchase'!Z6</f>
        <v>-33000</v>
      </c>
      <c r="BH121" s="5">
        <f>'Share Repurchase'!AA6</f>
        <v>-33000</v>
      </c>
      <c r="BI121" s="307"/>
      <c r="BK121" s="377">
        <f>'Share Repurchase'!AC6</f>
        <v>-33000</v>
      </c>
      <c r="BL121" s="5">
        <f>'Share Repurchase'!AD6</f>
        <v>-33000</v>
      </c>
      <c r="BM121" s="5">
        <f>'Share Repurchase'!AE6</f>
        <v>-33000</v>
      </c>
      <c r="BN121" s="5">
        <f>'Share Repurchase'!AF6</f>
        <v>-33000</v>
      </c>
      <c r="BO121" s="307"/>
    </row>
    <row r="122" spans="1:67">
      <c r="A122" s="469" t="s">
        <v>132</v>
      </c>
      <c r="C122" s="395"/>
      <c r="D122" s="18"/>
      <c r="E122" s="18"/>
      <c r="G122" s="308"/>
      <c r="I122" s="378"/>
      <c r="M122" s="308"/>
      <c r="O122" s="378"/>
      <c r="S122" s="308"/>
      <c r="U122" s="378"/>
      <c r="Y122" s="308"/>
      <c r="AA122" s="378"/>
      <c r="AE122" s="308"/>
      <c r="AG122" s="378"/>
      <c r="AK122" s="525"/>
      <c r="AL122" s="540"/>
      <c r="AM122" s="35">
        <f t="shared" ref="AM122:BO122" si="240">-AM144</f>
        <v>-62677.790000000008</v>
      </c>
      <c r="AN122" s="35">
        <f t="shared" si="240"/>
        <v>-75410.934000000008</v>
      </c>
      <c r="AO122" s="35">
        <f t="shared" si="240"/>
        <v>-74391.178</v>
      </c>
      <c r="AP122" s="35">
        <f t="shared" si="240"/>
        <v>-68525.636000000013</v>
      </c>
      <c r="AQ122" s="412">
        <f t="shared" si="240"/>
        <v>0</v>
      </c>
      <c r="AS122" s="411">
        <f t="shared" si="240"/>
        <v>-69918.874485761204</v>
      </c>
      <c r="AT122" s="35">
        <f t="shared" si="240"/>
        <v>-83722.517624798609</v>
      </c>
      <c r="AU122" s="35">
        <f t="shared" si="240"/>
        <v>-82327.045379196905</v>
      </c>
      <c r="AV122" s="35">
        <f t="shared" si="240"/>
        <v>-76763.271545408759</v>
      </c>
      <c r="AW122" s="412">
        <f t="shared" si="240"/>
        <v>0</v>
      </c>
      <c r="AY122" s="411">
        <f t="shared" si="240"/>
        <v>-78949.065794289942</v>
      </c>
      <c r="AZ122" s="35">
        <f t="shared" si="240"/>
        <v>-94355.708903058068</v>
      </c>
      <c r="BA122" s="35">
        <f t="shared" si="240"/>
        <v>-91699.906347833952</v>
      </c>
      <c r="BB122" s="35">
        <f t="shared" si="240"/>
        <v>-86538.678102519378</v>
      </c>
      <c r="BC122" s="412">
        <f t="shared" si="240"/>
        <v>0</v>
      </c>
      <c r="BE122" s="411">
        <f t="shared" si="240"/>
        <v>-90001.345740770819</v>
      </c>
      <c r="BF122" s="35">
        <f t="shared" si="240"/>
        <v>-110801.64621855356</v>
      </c>
      <c r="BG122" s="35">
        <f t="shared" si="240"/>
        <v>-105762.0177857963</v>
      </c>
      <c r="BH122" s="35">
        <f t="shared" si="240"/>
        <v>-100773.68046164092</v>
      </c>
      <c r="BI122" s="412">
        <f t="shared" si="240"/>
        <v>0</v>
      </c>
      <c r="BK122" s="411">
        <f t="shared" si="240"/>
        <v>-106312.52800343484</v>
      </c>
      <c r="BL122" s="35">
        <f t="shared" si="240"/>
        <v>-133294.06976986988</v>
      </c>
      <c r="BM122" s="35">
        <f t="shared" si="240"/>
        <v>-125099.08335443205</v>
      </c>
      <c r="BN122" s="35">
        <f t="shared" si="240"/>
        <v>-113428.31537792823</v>
      </c>
      <c r="BO122" s="412">
        <f t="shared" si="240"/>
        <v>0</v>
      </c>
    </row>
    <row r="123" spans="1:67" ht="15">
      <c r="A123" s="475" t="s">
        <v>133</v>
      </c>
      <c r="C123" s="400"/>
      <c r="D123" s="401"/>
      <c r="E123" s="401"/>
      <c r="F123" s="20"/>
      <c r="G123" s="311"/>
      <c r="I123" s="398"/>
      <c r="J123" s="20"/>
      <c r="K123" s="20"/>
      <c r="L123" s="20"/>
      <c r="M123" s="311"/>
      <c r="O123" s="398"/>
      <c r="P123" s="20"/>
      <c r="Q123" s="20"/>
      <c r="R123" s="20"/>
      <c r="S123" s="311"/>
      <c r="U123" s="398"/>
      <c r="V123" s="20"/>
      <c r="W123" s="20"/>
      <c r="X123" s="20"/>
      <c r="Y123" s="311"/>
      <c r="AA123" s="398"/>
      <c r="AB123" s="20"/>
      <c r="AC123" s="20"/>
      <c r="AD123" s="20"/>
      <c r="AE123" s="311"/>
      <c r="AG123" s="398"/>
      <c r="AH123" s="20"/>
      <c r="AI123" s="20"/>
      <c r="AJ123" s="20"/>
      <c r="AK123" s="530"/>
      <c r="AL123" s="540"/>
      <c r="AM123" s="414">
        <f>AM122+AM121</f>
        <v>-95677.790000000008</v>
      </c>
      <c r="AN123" s="414">
        <f t="shared" ref="AN123:AS123" si="241">AN122+AN121</f>
        <v>-108410.93400000001</v>
      </c>
      <c r="AO123" s="414">
        <f t="shared" si="241"/>
        <v>-107391.178</v>
      </c>
      <c r="AP123" s="414">
        <f t="shared" si="241"/>
        <v>-101525.63600000001</v>
      </c>
      <c r="AQ123" s="415">
        <f t="shared" ref="AQ123" si="242">AQ122</f>
        <v>0</v>
      </c>
      <c r="AS123" s="413">
        <f t="shared" si="241"/>
        <v>-102918.8744857612</v>
      </c>
      <c r="AT123" s="414">
        <f t="shared" ref="AT123" si="243">AT122+AT121</f>
        <v>-116722.51762479861</v>
      </c>
      <c r="AU123" s="414">
        <f t="shared" ref="AU123" si="244">AU122+AU121</f>
        <v>-115327.0453791969</v>
      </c>
      <c r="AV123" s="414">
        <f t="shared" ref="AV123:AY123" si="245">AV122+AV121</f>
        <v>-109763.27154540876</v>
      </c>
      <c r="AW123" s="415">
        <f t="shared" ref="AW123" si="246">AW122</f>
        <v>0</v>
      </c>
      <c r="AY123" s="413">
        <f t="shared" si="245"/>
        <v>-111949.06579428994</v>
      </c>
      <c r="AZ123" s="414">
        <f t="shared" ref="AZ123" si="247">AZ122+AZ121</f>
        <v>-127355.70890305807</v>
      </c>
      <c r="BA123" s="414">
        <f t="shared" ref="BA123" si="248">BA122+BA121</f>
        <v>-124699.90634783395</v>
      </c>
      <c r="BB123" s="414">
        <f t="shared" ref="BB123:BE123" si="249">BB122+BB121</f>
        <v>-119538.67810251938</v>
      </c>
      <c r="BC123" s="415">
        <f t="shared" ref="BC123" si="250">BC122</f>
        <v>0</v>
      </c>
      <c r="BE123" s="413">
        <f t="shared" si="249"/>
        <v>-123001.34574077082</v>
      </c>
      <c r="BF123" s="414">
        <f t="shared" ref="BF123" si="251">BF122+BF121</f>
        <v>-143801.64621855356</v>
      </c>
      <c r="BG123" s="414">
        <f t="shared" ref="BG123" si="252">BG122+BG121</f>
        <v>-138762.01778579631</v>
      </c>
      <c r="BH123" s="414">
        <f t="shared" ref="BH123" si="253">BH122+BH121</f>
        <v>-133773.68046164094</v>
      </c>
      <c r="BI123" s="415">
        <f t="shared" ref="BI123" si="254">BI122</f>
        <v>0</v>
      </c>
      <c r="BK123" s="413">
        <f>BK122+BK121</f>
        <v>-139312.52800343483</v>
      </c>
      <c r="BL123" s="414">
        <f t="shared" ref="BL123:BN123" si="255">BL122+BL121</f>
        <v>-166294.06976986988</v>
      </c>
      <c r="BM123" s="414">
        <f t="shared" si="255"/>
        <v>-158099.08335443205</v>
      </c>
      <c r="BN123" s="414">
        <f t="shared" si="255"/>
        <v>-146428.31537792823</v>
      </c>
      <c r="BO123" s="415">
        <f t="shared" ref="BO123" si="256">BO122</f>
        <v>0</v>
      </c>
    </row>
    <row r="124" spans="1:67" ht="15">
      <c r="A124" s="474"/>
      <c r="C124" s="402"/>
      <c r="D124" s="31"/>
      <c r="E124" s="31"/>
      <c r="F124" s="28"/>
      <c r="G124" s="313"/>
      <c r="I124" s="408"/>
      <c r="J124" s="28"/>
      <c r="K124" s="28"/>
      <c r="L124" s="28"/>
      <c r="M124" s="313"/>
      <c r="O124" s="408"/>
      <c r="P124" s="28"/>
      <c r="Q124" s="28"/>
      <c r="R124" s="28"/>
      <c r="S124" s="313"/>
      <c r="U124" s="408"/>
      <c r="V124" s="28"/>
      <c r="W124" s="28"/>
      <c r="X124" s="28"/>
      <c r="Y124" s="313"/>
      <c r="AA124" s="408"/>
      <c r="AB124" s="28"/>
      <c r="AC124" s="28"/>
      <c r="AD124" s="28"/>
      <c r="AE124" s="313"/>
      <c r="AG124" s="408"/>
      <c r="AH124" s="28"/>
      <c r="AI124" s="28"/>
      <c r="AJ124" s="28"/>
      <c r="AK124" s="532"/>
      <c r="AL124" s="540"/>
      <c r="AM124" s="417"/>
      <c r="AN124" s="417"/>
      <c r="AO124" s="417"/>
      <c r="AP124" s="417"/>
      <c r="AQ124" s="418"/>
      <c r="AS124" s="416"/>
      <c r="AT124" s="417"/>
      <c r="AU124" s="417"/>
      <c r="AV124" s="417"/>
      <c r="AW124" s="418"/>
      <c r="AY124" s="416"/>
      <c r="AZ124" s="417"/>
      <c r="BA124" s="417"/>
      <c r="BB124" s="417"/>
      <c r="BC124" s="418"/>
      <c r="BE124" s="416"/>
      <c r="BF124" s="417"/>
      <c r="BG124" s="417"/>
      <c r="BH124" s="417"/>
      <c r="BI124" s="418"/>
      <c r="BK124" s="416"/>
      <c r="BL124" s="417"/>
      <c r="BM124" s="417"/>
      <c r="BN124" s="417"/>
      <c r="BO124" s="418"/>
    </row>
    <row r="125" spans="1:67" ht="17.25" thickBot="1">
      <c r="A125" s="476" t="s">
        <v>129</v>
      </c>
      <c r="C125" s="403"/>
      <c r="D125" s="404"/>
      <c r="E125" s="404"/>
      <c r="F125" s="405"/>
      <c r="G125" s="406"/>
      <c r="I125" s="409"/>
      <c r="J125" s="405"/>
      <c r="K125" s="405"/>
      <c r="L125" s="405"/>
      <c r="M125" s="406"/>
      <c r="O125" s="409"/>
      <c r="P125" s="405"/>
      <c r="Q125" s="405"/>
      <c r="R125" s="405"/>
      <c r="S125" s="406"/>
      <c r="U125" s="409"/>
      <c r="V125" s="405"/>
      <c r="W125" s="405"/>
      <c r="X125" s="405"/>
      <c r="Y125" s="406"/>
      <c r="AA125" s="409"/>
      <c r="AB125" s="405"/>
      <c r="AC125" s="405"/>
      <c r="AD125" s="405"/>
      <c r="AE125" s="406"/>
      <c r="AG125" s="409"/>
      <c r="AH125" s="405"/>
      <c r="AI125" s="405"/>
      <c r="AJ125" s="405"/>
      <c r="AK125" s="533"/>
      <c r="AL125" s="540"/>
      <c r="AM125" s="420">
        <f>AM113+AM118+AM123</f>
        <v>36661.653967107501</v>
      </c>
      <c r="AN125" s="420">
        <f>AN113+AN118+AN123</f>
        <v>-54728.951568791206</v>
      </c>
      <c r="AO125" s="420">
        <f>AO113+AO118+AO123</f>
        <v>95607.423131463423</v>
      </c>
      <c r="AP125" s="420">
        <f t="shared" ref="AP125" si="257">AP113+AP118+AP123</f>
        <v>153561.7507306505</v>
      </c>
      <c r="AQ125" s="421">
        <f>AQ113+AQ123</f>
        <v>836652.26486151689</v>
      </c>
      <c r="AS125" s="419">
        <f>AS113+AS118+AS123</f>
        <v>-36867.869076999676</v>
      </c>
      <c r="AT125" s="420">
        <f>AT113+AT118+AT123</f>
        <v>-53534.73977503748</v>
      </c>
      <c r="AU125" s="420">
        <f>AU113+AU118+AU123</f>
        <v>167709.96453791126</v>
      </c>
      <c r="AV125" s="420">
        <f t="shared" ref="AV125" si="258">AV113+AV118+AV123</f>
        <v>179075.65153154806</v>
      </c>
      <c r="AW125" s="421">
        <f>AW113+AW123</f>
        <v>969461.71396107716</v>
      </c>
      <c r="AY125" s="419">
        <f>AY113+AY118+AY123</f>
        <v>-49511.401101287032</v>
      </c>
      <c r="AZ125" s="420">
        <f>AZ113+AZ118+AZ123</f>
        <v>-79252.810421181683</v>
      </c>
      <c r="BA125" s="420">
        <f>BA113+BA118+BA123</f>
        <v>209252.02368767359</v>
      </c>
      <c r="BB125" s="420">
        <f t="shared" ref="BB125" si="259">BB113+BB118+BB123</f>
        <v>196723.80134831916</v>
      </c>
      <c r="BC125" s="421">
        <f>BC113+BC123</f>
        <v>1064561.7008663248</v>
      </c>
      <c r="BE125" s="419">
        <f>BE113+BE118+BE123</f>
        <v>-45965.576760113458</v>
      </c>
      <c r="BF125" s="420">
        <f>BF113+BF118+BF123</f>
        <v>-136338.74276319786</v>
      </c>
      <c r="BG125" s="420">
        <f>BG113+BG118+BG123</f>
        <v>283623.00214234204</v>
      </c>
      <c r="BH125" s="420">
        <f t="shared" ref="BH125" si="260">BH113+BH118+BH123</f>
        <v>233565.24031350308</v>
      </c>
      <c r="BI125" s="421">
        <f>BI113+BI123</f>
        <v>1246753.4410789968</v>
      </c>
      <c r="BK125" s="419">
        <f>BK113+BK118+BK123</f>
        <v>-61736.645601854281</v>
      </c>
      <c r="BL125" s="420">
        <f>BL113+BL118+BL123</f>
        <v>-116773.98419963138</v>
      </c>
      <c r="BM125" s="420">
        <f>BM113+BM118+BM123</f>
        <v>332252.66968510638</v>
      </c>
      <c r="BN125" s="420">
        <f t="shared" ref="BN125" si="261">BN113+BN118+BN123</f>
        <v>350742.18626482645</v>
      </c>
      <c r="BO125" s="421">
        <f>BO113+BO123</f>
        <v>1409252.5962998217</v>
      </c>
    </row>
    <row r="126" spans="1:67" hidden="1">
      <c r="G126" s="438"/>
      <c r="AL126" s="504"/>
    </row>
    <row r="127" spans="1:67" hidden="1">
      <c r="A127" s="7" t="s">
        <v>136</v>
      </c>
      <c r="C127" s="8">
        <v>-42462</v>
      </c>
      <c r="D127" s="8">
        <v>-46280</v>
      </c>
      <c r="E127" s="8">
        <v>-38994</v>
      </c>
      <c r="F127" s="8">
        <v>-39271</v>
      </c>
      <c r="G127" s="8">
        <f>SUM(C127:F127)</f>
        <v>-167007</v>
      </c>
      <c r="I127" s="8">
        <v>-42462</v>
      </c>
      <c r="J127" s="8">
        <v>-51677</v>
      </c>
      <c r="K127" s="8">
        <v>-56583</v>
      </c>
      <c r="L127" s="8">
        <v>-42622</v>
      </c>
      <c r="M127" s="8">
        <f>SUM(I127:L127)</f>
        <v>-193344</v>
      </c>
      <c r="O127" s="8">
        <v>-42462</v>
      </c>
      <c r="P127" s="8">
        <v>-75910</v>
      </c>
      <c r="Q127" s="8">
        <v>-56161</v>
      </c>
      <c r="R127" s="8">
        <v>-41791</v>
      </c>
      <c r="S127" s="8">
        <f>SUM(O127:R127)</f>
        <v>-216324</v>
      </c>
      <c r="U127" s="8">
        <v>-42462</v>
      </c>
      <c r="V127" s="8">
        <v>-83259</v>
      </c>
      <c r="W127" s="8">
        <v>-24636</v>
      </c>
      <c r="X127" s="8">
        <v>-45899</v>
      </c>
      <c r="Y127" s="8">
        <f>SUM(U127:X127)</f>
        <v>-196256</v>
      </c>
      <c r="AA127" s="8">
        <v>-42462</v>
      </c>
      <c r="AB127" s="8">
        <v>-49526</v>
      </c>
      <c r="AC127" s="8">
        <v>-54666</v>
      </c>
      <c r="AD127" s="8">
        <v>-95202</v>
      </c>
      <c r="AE127" s="8">
        <f>SUM(AA127:AD127)</f>
        <v>-241856</v>
      </c>
      <c r="AG127" s="8">
        <v>-42462</v>
      </c>
      <c r="AH127" s="8">
        <v>-105580</v>
      </c>
      <c r="AI127" s="8">
        <v>-96505</v>
      </c>
      <c r="AJ127" s="8">
        <v>43460</v>
      </c>
      <c r="AK127" s="8">
        <f>SUM(AG127:AJ127)</f>
        <v>-201087</v>
      </c>
      <c r="AL127" s="504"/>
      <c r="AM127" s="5">
        <f>AM23*AM147</f>
        <v>-62677.790000000008</v>
      </c>
      <c r="AN127" s="5">
        <f>AN23*AN147</f>
        <v>-75410.934000000008</v>
      </c>
      <c r="AO127" s="5">
        <f>AO23*AO147</f>
        <v>-74391.178</v>
      </c>
      <c r="AP127" s="5">
        <f>AP23*AP147</f>
        <v>-68525.636000000013</v>
      </c>
      <c r="AQ127" s="5">
        <f>AQ23*AQ147</f>
        <v>-281005.53800000006</v>
      </c>
      <c r="AS127" s="5">
        <f>AS23*AS147</f>
        <v>-69918.874485761204</v>
      </c>
      <c r="AT127" s="5">
        <f>AT23*AT147</f>
        <v>-83722.517624798609</v>
      </c>
      <c r="AU127" s="5">
        <f>AU23*AU147</f>
        <v>-82327.045379196905</v>
      </c>
      <c r="AV127" s="5">
        <f>AV23*AV147</f>
        <v>-76763.271545408759</v>
      </c>
      <c r="AW127" s="5">
        <f>AW23*AW147</f>
        <v>-312731.70903516555</v>
      </c>
      <c r="AY127" s="5">
        <f>AY23*AY147</f>
        <v>-78949.065794289942</v>
      </c>
      <c r="AZ127" s="5">
        <f>AZ23*AZ147</f>
        <v>-94355.708903058068</v>
      </c>
      <c r="BA127" s="5">
        <f>BA23*BA147</f>
        <v>-91699.906347833952</v>
      </c>
      <c r="BB127" s="5">
        <f>BB23*BB147</f>
        <v>-86538.678102519378</v>
      </c>
      <c r="BC127" s="5">
        <f>BC23*BC147</f>
        <v>-351543.3591477013</v>
      </c>
      <c r="BE127" s="5">
        <f>BE23*BE147</f>
        <v>-90001.345740770819</v>
      </c>
      <c r="BF127" s="5">
        <f>BF23*BF147</f>
        <v>-110801.64621855356</v>
      </c>
      <c r="BG127" s="5">
        <f>BG23*BG147</f>
        <v>-105762.0177857963</v>
      </c>
      <c r="BH127" s="5">
        <f>BH23*BH147</f>
        <v>-100773.68046164092</v>
      </c>
      <c r="BI127" s="5">
        <f>BI23*BI147</f>
        <v>-407338.69020676165</v>
      </c>
      <c r="BK127" s="5">
        <f>BK23*BK147</f>
        <v>-106312.52800343484</v>
      </c>
      <c r="BL127" s="5">
        <f>BL23*BL147</f>
        <v>-133294.06976986988</v>
      </c>
      <c r="BM127" s="5">
        <f>BM23*BM147</f>
        <v>-125099.08335443205</v>
      </c>
      <c r="BN127" s="5">
        <f>BN23*BN147</f>
        <v>-113428.31537792823</v>
      </c>
      <c r="BO127" s="5">
        <f>BO23*BO147</f>
        <v>-478133.99650566507</v>
      </c>
    </row>
    <row r="128" spans="1:67" hidden="1">
      <c r="A128" s="7" t="s">
        <v>85</v>
      </c>
      <c r="AL128" s="504"/>
      <c r="AM128" s="36">
        <f>AM30</f>
        <v>88873.815880284412</v>
      </c>
      <c r="AN128" s="36">
        <f>AN30</f>
        <v>97757.413357443176</v>
      </c>
      <c r="AO128" s="36">
        <f>AO30</f>
        <v>96435.473639580334</v>
      </c>
      <c r="AP128" s="36">
        <f>AP30</f>
        <v>93327.118947435956</v>
      </c>
      <c r="AQ128" s="36">
        <f>AQ30</f>
        <v>376393.82182474388</v>
      </c>
      <c r="AS128" s="36">
        <f>AS30</f>
        <v>104878.31172864181</v>
      </c>
      <c r="AT128" s="36">
        <f>AT30</f>
        <v>125583.7764371979</v>
      </c>
      <c r="AU128" s="36">
        <f>AU30</f>
        <v>123490.56806879534</v>
      </c>
      <c r="AV128" s="36">
        <f>AV30</f>
        <v>115144.90731811314</v>
      </c>
      <c r="AW128" s="36">
        <f>AW30</f>
        <v>469097.56355274818</v>
      </c>
      <c r="AY128" s="36">
        <f>AY30</f>
        <v>129111.36796221841</v>
      </c>
      <c r="AZ128" s="36">
        <f>AZ30</f>
        <v>144922.87914962764</v>
      </c>
      <c r="BA128" s="36">
        <f>BA30</f>
        <v>137665.14557116988</v>
      </c>
      <c r="BB128" s="36">
        <f>BB30</f>
        <v>129797.89951303307</v>
      </c>
      <c r="BC128" s="36">
        <f>BC30</f>
        <v>541497.29219604901</v>
      </c>
      <c r="BE128" s="36">
        <f>BE30</f>
        <v>142765.01137415183</v>
      </c>
      <c r="BF128" s="36">
        <f>BF30</f>
        <v>170182.53342793553</v>
      </c>
      <c r="BG128" s="36">
        <f>BG30</f>
        <v>158775.99175679227</v>
      </c>
      <c r="BH128" s="36">
        <f>BH30</f>
        <v>151148.73877115268</v>
      </c>
      <c r="BI128" s="36">
        <f>BI30</f>
        <v>622872.27533003234</v>
      </c>
      <c r="BK128" s="36">
        <f>BK30</f>
        <v>182139.28462716303</v>
      </c>
      <c r="BL128" s="36">
        <f>BL30</f>
        <v>214261.43947800453</v>
      </c>
      <c r="BM128" s="36">
        <f>BM30</f>
        <v>198006.08617554035</v>
      </c>
      <c r="BN128" s="36">
        <f>BN30</f>
        <v>181550.21095400452</v>
      </c>
      <c r="BO128" s="36">
        <f>BO30</f>
        <v>775957.02123471245</v>
      </c>
    </row>
    <row r="129" spans="1:67" hidden="1">
      <c r="A129" s="7" t="s">
        <v>119</v>
      </c>
      <c r="AL129" s="504"/>
      <c r="AM129" s="5">
        <f>AM121</f>
        <v>-33000</v>
      </c>
      <c r="AN129" s="5">
        <f>AN121</f>
        <v>-33000</v>
      </c>
      <c r="AO129" s="5">
        <f>AO121</f>
        <v>-33000</v>
      </c>
      <c r="AP129" s="5">
        <f>AP121</f>
        <v>-33000</v>
      </c>
      <c r="AS129" s="5">
        <f>AS121</f>
        <v>-33000</v>
      </c>
      <c r="AT129" s="5">
        <f>AT121</f>
        <v>-33000</v>
      </c>
      <c r="AU129" s="5">
        <f>AU121</f>
        <v>-33000</v>
      </c>
      <c r="AV129" s="5">
        <f>AV121</f>
        <v>-33000</v>
      </c>
      <c r="AY129" s="5">
        <f>AY121</f>
        <v>-33000</v>
      </c>
      <c r="AZ129" s="5">
        <f>AZ121</f>
        <v>-33000</v>
      </c>
      <c r="BA129" s="5">
        <f>BA121</f>
        <v>-33000</v>
      </c>
      <c r="BB129" s="5">
        <f>BB121</f>
        <v>-33000</v>
      </c>
      <c r="BE129" s="5">
        <f>BE121</f>
        <v>-33000</v>
      </c>
      <c r="BF129" s="5">
        <f>BF121</f>
        <v>-33000</v>
      </c>
      <c r="BG129" s="5">
        <f>BG121</f>
        <v>-33000</v>
      </c>
      <c r="BH129" s="5">
        <f>BH121</f>
        <v>-33000</v>
      </c>
      <c r="BK129" s="5">
        <f>BK121</f>
        <v>-33000</v>
      </c>
      <c r="BL129" s="5">
        <f>BL121</f>
        <v>-33000</v>
      </c>
      <c r="BM129" s="5">
        <f>BM121</f>
        <v>-33000</v>
      </c>
      <c r="BN129" s="5">
        <f>BN121</f>
        <v>-33000</v>
      </c>
    </row>
    <row r="130" spans="1:67" ht="17.25" thickBot="1">
      <c r="G130" s="326"/>
      <c r="AL130" s="504"/>
    </row>
    <row r="131" spans="1:67" ht="17.25" thickBot="1">
      <c r="A131" s="320" t="s">
        <v>359</v>
      </c>
      <c r="C131" s="346"/>
      <c r="D131" s="321"/>
      <c r="E131" s="321"/>
      <c r="F131" s="322"/>
      <c r="G131" s="323"/>
      <c r="I131" s="361"/>
      <c r="J131" s="362"/>
      <c r="K131" s="362"/>
      <c r="L131" s="363"/>
      <c r="M131" s="364"/>
      <c r="O131" s="361"/>
      <c r="P131" s="362"/>
      <c r="Q131" s="362"/>
      <c r="R131" s="363"/>
      <c r="S131" s="364"/>
      <c r="U131" s="361"/>
      <c r="V131" s="362"/>
      <c r="W131" s="362"/>
      <c r="X131" s="363"/>
      <c r="Y131" s="364"/>
      <c r="AA131" s="361"/>
      <c r="AB131" s="362"/>
      <c r="AC131" s="362"/>
      <c r="AD131" s="363"/>
      <c r="AE131" s="364"/>
      <c r="AG131" s="361"/>
      <c r="AH131" s="362"/>
      <c r="AI131" s="362"/>
      <c r="AJ131" s="363"/>
      <c r="AK131" s="362"/>
      <c r="AL131" s="541"/>
      <c r="AM131" s="382"/>
      <c r="AN131" s="363"/>
      <c r="AO131" s="363"/>
      <c r="AP131" s="363"/>
      <c r="AQ131" s="383"/>
      <c r="AS131" s="382"/>
      <c r="AT131" s="363"/>
      <c r="AU131" s="363"/>
      <c r="AV131" s="363"/>
      <c r="AW131" s="383"/>
      <c r="AY131" s="382"/>
      <c r="AZ131" s="363"/>
      <c r="BA131" s="363"/>
      <c r="BB131" s="363"/>
      <c r="BC131" s="383"/>
      <c r="BE131" s="382"/>
      <c r="BF131" s="363"/>
      <c r="BG131" s="363"/>
      <c r="BH131" s="363"/>
      <c r="BI131" s="383"/>
      <c r="BK131" s="382"/>
      <c r="BL131" s="363"/>
      <c r="BM131" s="363"/>
      <c r="BN131" s="363"/>
      <c r="BO131" s="383"/>
    </row>
    <row r="132" spans="1:67">
      <c r="A132" s="1" t="s">
        <v>110</v>
      </c>
      <c r="C132" s="422">
        <f>(C64/C23)*90</f>
        <v>62.710682046793558</v>
      </c>
      <c r="D132" s="30">
        <f>(D64/D23)*90</f>
        <v>61.257286247921066</v>
      </c>
      <c r="E132" s="30">
        <f>(E64/E23)*90</f>
        <v>63.310039346639392</v>
      </c>
      <c r="F132" s="30">
        <f>(F64/F23)*90</f>
        <v>63.691422164481551</v>
      </c>
      <c r="G132" s="423">
        <f>(G64/G23)*365</f>
        <v>65.554737590569431</v>
      </c>
      <c r="I132" s="422">
        <f>(I64/I23)*90</f>
        <v>66.240527196050039</v>
      </c>
      <c r="J132" s="30">
        <f>(J64/J23)*90</f>
        <v>62.595331747415031</v>
      </c>
      <c r="K132" s="30">
        <f>(K64/K23)*90</f>
        <v>64.965944441347702</v>
      </c>
      <c r="L132" s="30">
        <f>(L64/L23)*90</f>
        <v>63.651159864088264</v>
      </c>
      <c r="M132" s="314">
        <f>(M64/M23)*365</f>
        <v>67.12640627239378</v>
      </c>
      <c r="O132" s="422">
        <f>(O64/O23)*90</f>
        <v>70.713207204045901</v>
      </c>
      <c r="P132" s="30">
        <f>(P64/P23)*90</f>
        <v>65.57080989733825</v>
      </c>
      <c r="Q132" s="30">
        <f>(Q64/Q23)*90</f>
        <v>64.766291938255051</v>
      </c>
      <c r="R132" s="30">
        <f>(R64/R23)*90</f>
        <v>66.620076807825441</v>
      </c>
      <c r="S132" s="314">
        <f>(S64/S23)*365</f>
        <v>68.967252702809631</v>
      </c>
      <c r="U132" s="422">
        <f>(U64/U23)*90</f>
        <v>69.026245016382035</v>
      </c>
      <c r="V132" s="30">
        <f>(V64/V23)*90</f>
        <v>72.55432394366197</v>
      </c>
      <c r="W132" s="30">
        <f>(W64/W23)*90</f>
        <v>69.527974809583441</v>
      </c>
      <c r="X132" s="30">
        <f>(X64/X23)*90</f>
        <v>69.126791343774727</v>
      </c>
      <c r="Y132" s="314">
        <f>(Y64/Y23)*365</f>
        <v>70.993328132051914</v>
      </c>
      <c r="AA132" s="422">
        <f>(AA64/AA23)*90</f>
        <v>69.067250058157668</v>
      </c>
      <c r="AB132" s="30">
        <f>(AB64/AB23)*90</f>
        <v>64.053373169641802</v>
      </c>
      <c r="AC132" s="30">
        <f>(AC64/AC23)*90</f>
        <v>66.515298813741552</v>
      </c>
      <c r="AD132" s="30">
        <f>(AD64/AD23)*90</f>
        <v>63.731371948251017</v>
      </c>
      <c r="AE132" s="314">
        <f>(AE64/AE23)*365</f>
        <v>76.032818771241907</v>
      </c>
      <c r="AG132" s="422">
        <f>(AG64/AG23)*90</f>
        <v>69.30454730910462</v>
      </c>
      <c r="AH132" s="30">
        <f>(AH64/AH23)*90</f>
        <v>66.72057756622371</v>
      </c>
      <c r="AI132" s="30">
        <f>(AI64/AI23)*90</f>
        <v>67.758263235041667</v>
      </c>
      <c r="AJ132" s="30">
        <f>(AJ64/AJ23)*90</f>
        <v>67.924580118269489</v>
      </c>
      <c r="AK132" s="534">
        <f>(AK64/AK23)*365</f>
        <v>68.145347863829343</v>
      </c>
      <c r="AL132" s="540"/>
      <c r="AM132" s="30">
        <f t="shared" ref="AM132:AP133" si="262">AVERAGE(AG132,AA132,U132,O132,I132,C132)</f>
        <v>67.843743138422312</v>
      </c>
      <c r="AN132" s="30">
        <f t="shared" si="262"/>
        <v>65.458617095366975</v>
      </c>
      <c r="AO132" s="30">
        <f t="shared" si="262"/>
        <v>66.140635430768128</v>
      </c>
      <c r="AP132" s="30">
        <f t="shared" si="262"/>
        <v>65.790900374448412</v>
      </c>
      <c r="AQ132" s="314">
        <f>(AQ64/AQ23)*365</f>
        <v>65.066040769538787</v>
      </c>
      <c r="AS132" s="422">
        <f t="shared" ref="AS132:AV134" si="263">AVERAGE(AM132,AG132,AA132,U132,O132,I132)</f>
        <v>68.699253320360427</v>
      </c>
      <c r="AT132" s="30">
        <f t="shared" si="263"/>
        <v>66.158838903274614</v>
      </c>
      <c r="AU132" s="30">
        <f t="shared" si="263"/>
        <v>66.612401444789583</v>
      </c>
      <c r="AV132" s="30">
        <f t="shared" si="263"/>
        <v>66.140813409442899</v>
      </c>
      <c r="AW132" s="314">
        <f>(AW64/AW23)*365</f>
        <v>65.841761901964276</v>
      </c>
      <c r="AY132" s="422">
        <f t="shared" ref="AY132:BB134" si="264">AVERAGE(AS132,AM132,AG132,AA132,U132,O132)</f>
        <v>69.109041007745503</v>
      </c>
      <c r="AZ132" s="30">
        <f t="shared" si="264"/>
        <v>66.752756762584553</v>
      </c>
      <c r="BA132" s="30">
        <f t="shared" si="264"/>
        <v>66.886810945363237</v>
      </c>
      <c r="BB132" s="30">
        <f t="shared" si="264"/>
        <v>66.555755667002003</v>
      </c>
      <c r="BC132" s="314">
        <f>(BC64/BC23)*365</f>
        <v>66.445769062700251</v>
      </c>
      <c r="BE132" s="422">
        <f t="shared" ref="BE132:BH134" si="265">AVERAGE(AY132,AS132,AM132,AG132,AA132,U132)</f>
        <v>68.841679975028782</v>
      </c>
      <c r="BF132" s="30">
        <f t="shared" si="265"/>
        <v>66.949747906792282</v>
      </c>
      <c r="BG132" s="30">
        <f t="shared" si="265"/>
        <v>67.240230779881259</v>
      </c>
      <c r="BH132" s="30">
        <f t="shared" si="265"/>
        <v>66.545035476864768</v>
      </c>
      <c r="BI132" s="314">
        <f>(BI64/BI23)*365</f>
        <v>66.766325213937449</v>
      </c>
      <c r="BK132" s="422">
        <f t="shared" ref="BK132:BN134" si="266">AVERAGE(BE132,AY132,AS132,AM132,AG132,AA132)</f>
        <v>68.810919134803214</v>
      </c>
      <c r="BL132" s="30">
        <f t="shared" si="266"/>
        <v>66.015651900647327</v>
      </c>
      <c r="BM132" s="30">
        <f t="shared" si="266"/>
        <v>66.858940108264235</v>
      </c>
      <c r="BN132" s="30">
        <f t="shared" si="266"/>
        <v>66.114742832379775</v>
      </c>
      <c r="BO132" s="314">
        <f>(BO64/BO23)*365</f>
        <v>63.609286748390574</v>
      </c>
    </row>
    <row r="133" spans="1:67">
      <c r="A133" s="1" t="s">
        <v>108</v>
      </c>
      <c r="C133" s="422">
        <f>(C67/C24)*90</f>
        <v>32.992176565945407</v>
      </c>
      <c r="D133" s="30">
        <f>(D67/D24)*90</f>
        <v>29.874009961466168</v>
      </c>
      <c r="E133" s="30">
        <f>(E67/E24)*90</f>
        <v>29.982447868051075</v>
      </c>
      <c r="F133" s="30">
        <f>(F67/F24)*90</f>
        <v>30.076667489415026</v>
      </c>
      <c r="G133" s="314">
        <f>(G67/G24)*365</f>
        <v>31.146177799389434</v>
      </c>
      <c r="I133" s="422">
        <f>(I67/I24)*90</f>
        <v>29.884101203275836</v>
      </c>
      <c r="J133" s="30">
        <f>(J67/J24)*90</f>
        <v>29.848248067116302</v>
      </c>
      <c r="K133" s="30">
        <f>(K67/K24)*90</f>
        <v>30.384890258918347</v>
      </c>
      <c r="L133" s="30">
        <f>(L67/L24)*90</f>
        <v>30.180547593791449</v>
      </c>
      <c r="M133" s="314">
        <f>(M67/M24)*365</f>
        <v>31.580231797084515</v>
      </c>
      <c r="O133" s="422">
        <f>(O67/O24)*90</f>
        <v>32.024119185490214</v>
      </c>
      <c r="P133" s="30">
        <f>(P67/P24)*90</f>
        <v>30.75941324485278</v>
      </c>
      <c r="Q133" s="30">
        <f>(Q67/Q24)*90</f>
        <v>30.965819888568657</v>
      </c>
      <c r="R133" s="30">
        <f>(R67/R24)*90</f>
        <v>31.386756050980239</v>
      </c>
      <c r="S133" s="314">
        <f>(S67/S24)*365</f>
        <v>32.825586863995973</v>
      </c>
      <c r="U133" s="422">
        <f>(U67/U24)*90</f>
        <v>32.122914420785079</v>
      </c>
      <c r="V133" s="30">
        <f>(V67/V24)*90</f>
        <v>42.029994837267708</v>
      </c>
      <c r="W133" s="30">
        <f>(W67/W24)*90</f>
        <v>38.855420627055935</v>
      </c>
      <c r="X133" s="30">
        <f>(X67/X24)*90</f>
        <v>36.162033620336203</v>
      </c>
      <c r="Y133" s="314">
        <f>(Y67/Y24)*365</f>
        <v>37.647869185887409</v>
      </c>
      <c r="AA133" s="422">
        <f>(AA67/AA24)*90</f>
        <v>35.242892517162147</v>
      </c>
      <c r="AB133" s="30">
        <f>(AB67/AB24)*90</f>
        <v>31.422058437964285</v>
      </c>
      <c r="AC133" s="30">
        <f>(AC67/AC24)*90</f>
        <v>32.197042701241493</v>
      </c>
      <c r="AD133" s="30">
        <f>(AD67/AD24)*90</f>
        <v>28.481146401778378</v>
      </c>
      <c r="AE133" s="314">
        <f>(AE67/AE24)*365</f>
        <v>35.060649381551414</v>
      </c>
      <c r="AG133" s="422">
        <f>(AG67/AG24)*90</f>
        <v>28.250273598541121</v>
      </c>
      <c r="AH133" s="30">
        <f>(AH67/AH24)*90</f>
        <v>27.616578869165213</v>
      </c>
      <c r="AI133" s="30">
        <f>(AI67/AI24)*90</f>
        <v>29.077975244002072</v>
      </c>
      <c r="AJ133" s="30">
        <f>(AJ67/AJ24)*90</f>
        <v>32.812062497756401</v>
      </c>
      <c r="AK133" s="534">
        <f>(AK67/AK24)*365</f>
        <v>33.472108647744172</v>
      </c>
      <c r="AL133" s="540"/>
      <c r="AM133" s="30">
        <f t="shared" si="262"/>
        <v>31.752746248533299</v>
      </c>
      <c r="AN133" s="30">
        <f t="shared" si="262"/>
        <v>31.925050569638742</v>
      </c>
      <c r="AO133" s="30">
        <f t="shared" si="262"/>
        <v>31.910599431306263</v>
      </c>
      <c r="AP133" s="30">
        <f t="shared" si="262"/>
        <v>31.516535609009619</v>
      </c>
      <c r="AQ133" s="314">
        <f>(AQ67/AQ24)*365</f>
        <v>31.149693808922475</v>
      </c>
      <c r="AS133" s="422">
        <f t="shared" si="263"/>
        <v>31.546174528964617</v>
      </c>
      <c r="AT133" s="30">
        <f t="shared" si="263"/>
        <v>32.26689067100083</v>
      </c>
      <c r="AU133" s="30">
        <f t="shared" si="263"/>
        <v>32.231958025182131</v>
      </c>
      <c r="AV133" s="30">
        <f t="shared" si="263"/>
        <v>31.756513628942049</v>
      </c>
      <c r="AW133" s="314">
        <f>(AW67/AW24)*365</f>
        <v>31.628214037886526</v>
      </c>
      <c r="AY133" s="422">
        <f t="shared" si="264"/>
        <v>31.82318674991274</v>
      </c>
      <c r="AZ133" s="30">
        <f t="shared" si="264"/>
        <v>32.669997771648262</v>
      </c>
      <c r="BA133" s="30">
        <f t="shared" si="264"/>
        <v>32.53980265289276</v>
      </c>
      <c r="BB133" s="30">
        <f t="shared" si="264"/>
        <v>32.019174634800486</v>
      </c>
      <c r="BC133" s="314">
        <f>(BC67/BC24)*365</f>
        <v>32.019869603241382</v>
      </c>
      <c r="BE133" s="422">
        <f t="shared" si="265"/>
        <v>31.78969801064984</v>
      </c>
      <c r="BF133" s="30">
        <f t="shared" si="265"/>
        <v>32.98842852611417</v>
      </c>
      <c r="BG133" s="30">
        <f t="shared" si="265"/>
        <v>32.802133113613444</v>
      </c>
      <c r="BH133" s="30">
        <f t="shared" si="265"/>
        <v>32.124577732103859</v>
      </c>
      <c r="BI133" s="314">
        <f>(BI67/BI24)*365</f>
        <v>32.327468336851588</v>
      </c>
      <c r="BK133" s="422">
        <f t="shared" si="266"/>
        <v>31.734161942293962</v>
      </c>
      <c r="BL133" s="30">
        <f t="shared" si="266"/>
        <v>31.481500807588585</v>
      </c>
      <c r="BM133" s="30">
        <f t="shared" si="266"/>
        <v>31.793251861373022</v>
      </c>
      <c r="BN133" s="30">
        <f t="shared" si="266"/>
        <v>31.451668417398466</v>
      </c>
      <c r="BO133" s="314">
        <f>(BO67/BO24)*365</f>
        <v>30.37081062324777</v>
      </c>
    </row>
    <row r="134" spans="1:67">
      <c r="A134" s="1" t="s">
        <v>109</v>
      </c>
      <c r="C134" s="422">
        <f>(C80/C24)*90</f>
        <v>39.632369080822016</v>
      </c>
      <c r="D134" s="30">
        <f>(D80/D24)*90</f>
        <v>38.821668978439909</v>
      </c>
      <c r="E134" s="30">
        <f>(E80/E24)*90</f>
        <v>38.729991628094957</v>
      </c>
      <c r="F134" s="30">
        <f>(F80/F24)*90</f>
        <v>38.316258140462132</v>
      </c>
      <c r="G134" s="314">
        <f>(G80/G24)*365</f>
        <v>39.678763914590434</v>
      </c>
      <c r="I134" s="422">
        <f>(I80/I24)*90</f>
        <v>39.192514983758066</v>
      </c>
      <c r="J134" s="30">
        <f>(J80/J24)*90</f>
        <v>38.21881682842573</v>
      </c>
      <c r="K134" s="30">
        <f>(K80/K24)*90</f>
        <v>38.500133463065175</v>
      </c>
      <c r="L134" s="30">
        <f>(L80/L24)*90</f>
        <v>41.827682955735582</v>
      </c>
      <c r="M134" s="314">
        <f>(M80/M24)*365</f>
        <v>43.767526721378097</v>
      </c>
      <c r="O134" s="422">
        <f>(O80/O24)*90</f>
        <v>38.633576911355085</v>
      </c>
      <c r="P134" s="30">
        <f>(P80/P24)*90</f>
        <v>38.299993444639988</v>
      </c>
      <c r="Q134" s="30">
        <f>(Q80/Q24)*90</f>
        <v>40.765217362922151</v>
      </c>
      <c r="R134" s="30">
        <f>(R80/R24)*90</f>
        <v>43.610174611217211</v>
      </c>
      <c r="S134" s="314">
        <f>(S80/S24)*365</f>
        <v>45.609351043776769</v>
      </c>
      <c r="U134" s="422">
        <f>(U80/U24)*90</f>
        <v>39.742263453036763</v>
      </c>
      <c r="V134" s="30">
        <f>(V80/V24)*90</f>
        <v>36.012925951971717</v>
      </c>
      <c r="W134" s="30">
        <f>(W80/W24)*90</f>
        <v>37.605061480095927</v>
      </c>
      <c r="X134" s="30">
        <f>(X80/X24)*90</f>
        <v>32.124313243132434</v>
      </c>
      <c r="Y134" s="314">
        <f>(Y80/Y24)*365</f>
        <v>33.444245845283199</v>
      </c>
      <c r="AA134" s="422">
        <f>(AA80/AA24)*90</f>
        <v>34.256408152197181</v>
      </c>
      <c r="AB134" s="30">
        <f>(AB80/AB24)*90</f>
        <v>36.298831823346056</v>
      </c>
      <c r="AC134" s="30">
        <f>(AC80/AC24)*90</f>
        <v>40.346619067881456</v>
      </c>
      <c r="AD134" s="30">
        <f>(AD80/AD24)*90</f>
        <v>40.88441685822594</v>
      </c>
      <c r="AE134" s="314">
        <f>(AE80/AE24)*365</f>
        <v>50.329231289157136</v>
      </c>
      <c r="AG134" s="422">
        <f>(AG80/AG24)*90</f>
        <v>42.060875823611646</v>
      </c>
      <c r="AH134" s="30">
        <f>(AH80/AH24)*90</f>
        <v>40.991531149099188</v>
      </c>
      <c r="AI134" s="30">
        <f>(AI80/AI24)*90</f>
        <v>41.203813108907063</v>
      </c>
      <c r="AJ134" s="30">
        <f>(AJ80/AJ24)*90</f>
        <v>45.092582205549775</v>
      </c>
      <c r="AK134" s="534">
        <f>(AK80/AK24)*365</f>
        <v>45.999662803723545</v>
      </c>
      <c r="AL134" s="540"/>
      <c r="AM134" s="30">
        <f>AG134</f>
        <v>42.060875823611646</v>
      </c>
      <c r="AN134" s="30">
        <f>AH134</f>
        <v>40.991531149099188</v>
      </c>
      <c r="AO134" s="30">
        <f>AVERAGE(AI134,AC134,W134,Q134,K134,E134)</f>
        <v>39.525139351827782</v>
      </c>
      <c r="AP134" s="30">
        <f>AVERAGE(AJ134,AD134,X134,R134,L134,F134)</f>
        <v>40.309238002387183</v>
      </c>
      <c r="AQ134" s="314">
        <f>(AQ80/AQ24)*365</f>
        <v>39.840052124459987</v>
      </c>
      <c r="AS134" s="422">
        <f t="shared" si="263"/>
        <v>39.324419191261732</v>
      </c>
      <c r="AT134" s="30">
        <f t="shared" si="263"/>
        <v>38.468938391096977</v>
      </c>
      <c r="AU134" s="30">
        <f t="shared" si="263"/>
        <v>39.657663972449924</v>
      </c>
      <c r="AV134" s="30">
        <f t="shared" si="263"/>
        <v>40.64140131270802</v>
      </c>
      <c r="AW134" s="314">
        <f>(AW80/AW24)*365</f>
        <v>40.477205858847121</v>
      </c>
      <c r="AY134" s="422">
        <f t="shared" si="264"/>
        <v>39.34640322584567</v>
      </c>
      <c r="AZ134" s="30">
        <f t="shared" si="264"/>
        <v>38.510625318208852</v>
      </c>
      <c r="BA134" s="30">
        <f t="shared" si="264"/>
        <v>39.850585724014053</v>
      </c>
      <c r="BB134" s="30">
        <f t="shared" si="264"/>
        <v>40.44368770553676</v>
      </c>
      <c r="BC134" s="314">
        <f>(BC80/BC24)*365</f>
        <v>40.444565525996197</v>
      </c>
      <c r="BE134" s="422">
        <f t="shared" si="265"/>
        <v>39.465207611594103</v>
      </c>
      <c r="BF134" s="30">
        <f t="shared" si="265"/>
        <v>38.545730630470331</v>
      </c>
      <c r="BG134" s="30">
        <f t="shared" si="265"/>
        <v>39.698147117529366</v>
      </c>
      <c r="BH134" s="30">
        <f t="shared" si="265"/>
        <v>39.915939887923351</v>
      </c>
      <c r="BI134" s="314">
        <f>(BI80/BI24)*365</f>
        <v>40.16803874041166</v>
      </c>
      <c r="BK134" s="422">
        <f t="shared" si="266"/>
        <v>39.419031638020329</v>
      </c>
      <c r="BL134" s="30">
        <f t="shared" si="266"/>
        <v>38.967864743553434</v>
      </c>
      <c r="BM134" s="30">
        <f t="shared" si="266"/>
        <v>40.046994723768272</v>
      </c>
      <c r="BN134" s="30">
        <f t="shared" si="266"/>
        <v>41.214544328721836</v>
      </c>
      <c r="BO134" s="314">
        <f>(BO80/BO24)*365</f>
        <v>39.798178720421525</v>
      </c>
    </row>
    <row r="135" spans="1:67" ht="15">
      <c r="A135" s="31" t="s">
        <v>111</v>
      </c>
      <c r="C135" s="424">
        <f>C132+C133-C134</f>
        <v>56.070489531916948</v>
      </c>
      <c r="D135" s="32">
        <f t="shared" ref="D135:BN135" si="267">D132+D133-D134</f>
        <v>52.309627230947321</v>
      </c>
      <c r="E135" s="32">
        <f t="shared" si="267"/>
        <v>54.56249558659551</v>
      </c>
      <c r="F135" s="32">
        <f t="shared" si="267"/>
        <v>55.451831513434449</v>
      </c>
      <c r="G135" s="315">
        <f t="shared" si="267"/>
        <v>57.022151475368432</v>
      </c>
      <c r="I135" s="424">
        <f t="shared" si="267"/>
        <v>56.932113415567805</v>
      </c>
      <c r="J135" s="32">
        <f t="shared" si="267"/>
        <v>54.224762986105603</v>
      </c>
      <c r="K135" s="32">
        <f t="shared" si="267"/>
        <v>56.850701237200873</v>
      </c>
      <c r="L135" s="32">
        <f t="shared" si="267"/>
        <v>52.004024502144134</v>
      </c>
      <c r="M135" s="315">
        <f t="shared" si="267"/>
        <v>54.939111348100191</v>
      </c>
      <c r="O135" s="424">
        <f t="shared" si="267"/>
        <v>64.103749478181044</v>
      </c>
      <c r="P135" s="32">
        <f t="shared" si="267"/>
        <v>58.030229697551043</v>
      </c>
      <c r="Q135" s="32">
        <f t="shared" si="267"/>
        <v>54.966894463901561</v>
      </c>
      <c r="R135" s="32">
        <f t="shared" si="267"/>
        <v>54.396658247588469</v>
      </c>
      <c r="S135" s="315">
        <f t="shared" si="267"/>
        <v>56.183488523028842</v>
      </c>
      <c r="U135" s="424">
        <f t="shared" si="267"/>
        <v>61.406895984130351</v>
      </c>
      <c r="V135" s="32">
        <f t="shared" si="267"/>
        <v>78.571392828957954</v>
      </c>
      <c r="W135" s="32">
        <f t="shared" si="267"/>
        <v>70.778333956543449</v>
      </c>
      <c r="X135" s="32">
        <f t="shared" si="267"/>
        <v>73.164511720978496</v>
      </c>
      <c r="Y135" s="315">
        <f t="shared" si="267"/>
        <v>75.19695147265611</v>
      </c>
      <c r="AA135" s="424">
        <f t="shared" si="267"/>
        <v>70.053734423122634</v>
      </c>
      <c r="AB135" s="32">
        <f t="shared" si="267"/>
        <v>59.176599784260027</v>
      </c>
      <c r="AC135" s="32">
        <f t="shared" si="267"/>
        <v>58.365722447101597</v>
      </c>
      <c r="AD135" s="32">
        <f t="shared" si="267"/>
        <v>51.328101491803459</v>
      </c>
      <c r="AE135" s="315">
        <f t="shared" si="267"/>
        <v>60.764236863636185</v>
      </c>
      <c r="AG135" s="424">
        <f t="shared" si="267"/>
        <v>55.493945084034088</v>
      </c>
      <c r="AH135" s="32">
        <f t="shared" si="267"/>
        <v>53.345625286289732</v>
      </c>
      <c r="AI135" s="32">
        <f t="shared" si="267"/>
        <v>55.63242537013668</v>
      </c>
      <c r="AJ135" s="32">
        <f t="shared" si="267"/>
        <v>55.644060410476115</v>
      </c>
      <c r="AK135" s="535">
        <f t="shared" si="267"/>
        <v>55.617793707849977</v>
      </c>
      <c r="AL135" s="540"/>
      <c r="AM135" s="32">
        <f t="shared" si="267"/>
        <v>57.535613563343965</v>
      </c>
      <c r="AN135" s="32">
        <f t="shared" si="267"/>
        <v>56.392136515906529</v>
      </c>
      <c r="AO135" s="32">
        <f t="shared" si="267"/>
        <v>58.526095510246613</v>
      </c>
      <c r="AP135" s="32">
        <f t="shared" si="267"/>
        <v>56.998197981070852</v>
      </c>
      <c r="AQ135" s="315">
        <f t="shared" ref="AQ135" si="268">AQ132+AQ133-AQ134</f>
        <v>56.375682454001279</v>
      </c>
      <c r="AS135" s="424">
        <f t="shared" si="267"/>
        <v>60.921008658063307</v>
      </c>
      <c r="AT135" s="32">
        <f t="shared" si="267"/>
        <v>59.95679118317846</v>
      </c>
      <c r="AU135" s="32">
        <f t="shared" si="267"/>
        <v>59.186695497521796</v>
      </c>
      <c r="AV135" s="32">
        <f t="shared" si="267"/>
        <v>57.255925725676924</v>
      </c>
      <c r="AW135" s="315">
        <f t="shared" ref="AW135" si="269">AW132+AW133-AW134</f>
        <v>56.992770081003677</v>
      </c>
      <c r="AY135" s="424">
        <f t="shared" si="267"/>
        <v>61.58582453181257</v>
      </c>
      <c r="AZ135" s="32">
        <f t="shared" si="267"/>
        <v>60.912129216023956</v>
      </c>
      <c r="BA135" s="32">
        <f t="shared" si="267"/>
        <v>59.576027874241944</v>
      </c>
      <c r="BB135" s="32">
        <f t="shared" si="267"/>
        <v>58.131242596265722</v>
      </c>
      <c r="BC135" s="315">
        <f t="shared" ref="BC135" si="270">BC132+BC133-BC134</f>
        <v>58.021073139945443</v>
      </c>
      <c r="BE135" s="424">
        <f t="shared" si="267"/>
        <v>61.166170374084523</v>
      </c>
      <c r="BF135" s="32">
        <f t="shared" si="267"/>
        <v>61.392445802436129</v>
      </c>
      <c r="BG135" s="32">
        <f t="shared" si="267"/>
        <v>60.344216775965329</v>
      </c>
      <c r="BH135" s="32">
        <f t="shared" si="267"/>
        <v>58.753673321045277</v>
      </c>
      <c r="BI135" s="315">
        <f t="shared" ref="BI135" si="271">BI132+BI133-BI134</f>
        <v>58.92575481037737</v>
      </c>
      <c r="BK135" s="424">
        <f t="shared" si="267"/>
        <v>61.126049439076851</v>
      </c>
      <c r="BL135" s="32">
        <f t="shared" si="267"/>
        <v>58.529287964682482</v>
      </c>
      <c r="BM135" s="32">
        <f t="shared" si="267"/>
        <v>58.605197245868986</v>
      </c>
      <c r="BN135" s="32">
        <f t="shared" si="267"/>
        <v>56.351866921056406</v>
      </c>
      <c r="BO135" s="315">
        <f t="shared" ref="BO135" si="272">BO132+BO133-BO134</f>
        <v>54.181918651216826</v>
      </c>
    </row>
    <row r="136" spans="1:67">
      <c r="C136" s="378"/>
      <c r="G136" s="308"/>
      <c r="I136" s="378"/>
      <c r="M136" s="308"/>
      <c r="O136" s="378"/>
      <c r="S136" s="308"/>
      <c r="U136" s="378"/>
      <c r="Y136" s="308"/>
      <c r="AA136" s="378"/>
      <c r="AE136" s="308"/>
      <c r="AG136" s="378"/>
      <c r="AK136" s="525"/>
      <c r="AL136" s="540"/>
      <c r="AQ136" s="392"/>
      <c r="AS136" s="378"/>
      <c r="AW136" s="392"/>
      <c r="AY136" s="378"/>
      <c r="BC136" s="392"/>
      <c r="BE136" s="378"/>
      <c r="BI136" s="392"/>
      <c r="BK136" s="378"/>
      <c r="BO136" s="392"/>
    </row>
    <row r="137" spans="1:67">
      <c r="A137" s="1" t="s">
        <v>112</v>
      </c>
      <c r="C137" s="425">
        <f>C68/C23</f>
        <v>8.0093941280893435E-2</v>
      </c>
      <c r="D137" s="339">
        <f>D68/D23</f>
        <v>4.7587102876241384E-2</v>
      </c>
      <c r="E137" s="339">
        <f>E68/E23</f>
        <v>4.3179430730598559E-2</v>
      </c>
      <c r="F137" s="339">
        <f>F68/F23</f>
        <v>4.7062963354441982E-2</v>
      </c>
      <c r="G137" s="316">
        <f>G68/G23</f>
        <v>1.194406206090504E-2</v>
      </c>
      <c r="I137" s="425">
        <f>I68/I23</f>
        <v>5.0917738317208562E-2</v>
      </c>
      <c r="J137" s="339">
        <f>J68/J23</f>
        <v>4.1022681772145936E-2</v>
      </c>
      <c r="K137" s="339">
        <f>K68/K23</f>
        <v>4.2032493616435851E-2</v>
      </c>
      <c r="L137" s="339">
        <f>L68/L23</f>
        <v>4.9871592302063381E-2</v>
      </c>
      <c r="M137" s="316">
        <f>M68/M23</f>
        <v>1.2968506225034489E-2</v>
      </c>
      <c r="O137" s="425">
        <f>O68/O23</f>
        <v>5.881494136435296E-2</v>
      </c>
      <c r="P137" s="339">
        <f>P68/P23</f>
        <v>4.9086082530005362E-2</v>
      </c>
      <c r="Q137" s="339">
        <f>Q68/Q23</f>
        <v>4.2839935940282708E-2</v>
      </c>
      <c r="R137" s="339">
        <f>R68/R23</f>
        <v>5.6190262972083974E-2</v>
      </c>
      <c r="S137" s="316">
        <f>S68/S23</f>
        <v>1.4343281001351038E-2</v>
      </c>
      <c r="U137" s="425">
        <f>U68/U23</f>
        <v>5.1981042742349715E-2</v>
      </c>
      <c r="V137" s="339">
        <f>V68/V23</f>
        <v>9.7823943661971835E-2</v>
      </c>
      <c r="W137" s="339">
        <f>W68/W23</f>
        <v>7.5333870537272377E-2</v>
      </c>
      <c r="X137" s="339">
        <f>X68/X23</f>
        <v>8.4214823094989885E-2</v>
      </c>
      <c r="Y137" s="316">
        <f>Y68/Y23</f>
        <v>2.1325995985492813E-2</v>
      </c>
      <c r="AA137" s="425">
        <f>AA68/AA23</f>
        <v>9.4940530694872724E-2</v>
      </c>
      <c r="AB137" s="339">
        <f>AB68/AB23</f>
        <v>8.2598455623460534E-2</v>
      </c>
      <c r="AC137" s="339">
        <f>AC68/AC23</f>
        <v>7.4477734138115509E-2</v>
      </c>
      <c r="AD137" s="339">
        <f>AD68/AD23</f>
        <v>6.117388325482969E-2</v>
      </c>
      <c r="AE137" s="316">
        <f>AE68/AE23</f>
        <v>1.7995483457651239E-2</v>
      </c>
      <c r="AG137" s="425">
        <f>AG68/AG23</f>
        <v>8.8399798479012651E-2</v>
      </c>
      <c r="AH137" s="339">
        <f>AH68/AH23</f>
        <v>6.8804227935755191E-2</v>
      </c>
      <c r="AI137" s="339">
        <f>AI68/AI23</f>
        <v>5.2708339752590809E-2</v>
      </c>
      <c r="AJ137" s="339">
        <f>AJ68/AJ23</f>
        <v>6.4563124267466188E-2</v>
      </c>
      <c r="AK137" s="536">
        <f>AK68/AK23</f>
        <v>1.5971416433034846E-2</v>
      </c>
      <c r="AL137" s="540"/>
      <c r="AM137" s="339">
        <f>AVERAGE(AG137,AA137,U137,O137,I137,C137)</f>
        <v>7.0857998813115011E-2</v>
      </c>
      <c r="AN137" s="339">
        <f>AVERAGE(AH137,AB137,V137,P137,J137,D137)</f>
        <v>6.4487082399930035E-2</v>
      </c>
      <c r="AO137" s="339">
        <f>AVERAGE(AI137,AC137,W137,Q137,K137,E137)</f>
        <v>5.5095300785882644E-2</v>
      </c>
      <c r="AP137" s="339">
        <f>AVERAGE(AJ137,AD137,X137,R137,L137,F137)</f>
        <v>6.0512774874312523E-2</v>
      </c>
      <c r="AQ137" s="316">
        <f>AVERAGE(AK137,AE137,Y137,S137,M137,G137)</f>
        <v>1.575812419391158E-2</v>
      </c>
      <c r="AS137" s="425">
        <f>AVERAGE(AM137,AG137,AA137,U137,O137,I137)</f>
        <v>6.9318675068485269E-2</v>
      </c>
      <c r="AT137" s="339">
        <f>AVERAGE(AN137,AH137,AB137,V137,P137,J137)</f>
        <v>6.7303745653878144E-2</v>
      </c>
      <c r="AU137" s="339">
        <f>AVERAGE(AO137,AI137,AC137,W137,Q137,K137)</f>
        <v>5.7081279128429981E-2</v>
      </c>
      <c r="AV137" s="339">
        <f>AVERAGE(AP137,AJ137,AD137,X137,R137,L137)</f>
        <v>6.2754410127624269E-2</v>
      </c>
      <c r="AW137" s="316">
        <f>AVERAGE(AQ137,AK137,AE137,Y137,S137,M137)</f>
        <v>1.6393801216079334E-2</v>
      </c>
      <c r="AY137" s="425">
        <f>AVERAGE(AS137,AM137,AG137,AA137,U137,O137)</f>
        <v>7.2385497860364717E-2</v>
      </c>
      <c r="AZ137" s="339">
        <f>AVERAGE(AT137,AN137,AH137,AB137,V137,P137)</f>
        <v>7.1683922967500188E-2</v>
      </c>
      <c r="BA137" s="339">
        <f>AVERAGE(AU137,AO137,AI137,AC137,W137,Q137)</f>
        <v>5.958941004709567E-2</v>
      </c>
      <c r="BB137" s="339">
        <f>AVERAGE(AV137,AP137,AJ137,AD137,X137,R137)</f>
        <v>6.4901546431884422E-2</v>
      </c>
      <c r="BC137" s="316">
        <f>AVERAGE(AW137,AQ137,AK137,AE137,Y137,S137)</f>
        <v>1.6964683714586811E-2</v>
      </c>
      <c r="BE137" s="425">
        <f>AVERAGE(AY137,AS137,AM137,AG137,AA137,U137)</f>
        <v>7.4647257276366688E-2</v>
      </c>
      <c r="BF137" s="339">
        <f>AVERAGE(AZ137,AT137,AN137,AH137,AB137,V137)</f>
        <v>7.545022970708265E-2</v>
      </c>
      <c r="BG137" s="339">
        <f>AVERAGE(BA137,AU137,AO137,AI137,AC137,W137)</f>
        <v>6.2380989064897828E-2</v>
      </c>
      <c r="BH137" s="339">
        <f>AVERAGE(BB137,AV137,AP137,AJ137,AD137,X137)</f>
        <v>6.6353427008517832E-2</v>
      </c>
      <c r="BI137" s="316">
        <f>AVERAGE(BC137,AW137,AQ137,AK137,AE137,Y137)</f>
        <v>1.7401584166792772E-2</v>
      </c>
      <c r="BK137" s="425">
        <f>AVERAGE(BE137,AY137,AS137,AM137,AG137,AA137)</f>
        <v>7.8424959698702848E-2</v>
      </c>
      <c r="BL137" s="339">
        <f>AVERAGE(BF137,AZ137,AT137,AN137,AH137,AB137)</f>
        <v>7.1721277381267781E-2</v>
      </c>
      <c r="BM137" s="339">
        <f>AVERAGE(BG137,BA137,AU137,AO137,AI137,AC137)</f>
        <v>6.022217548616874E-2</v>
      </c>
      <c r="BN137" s="339">
        <f>AVERAGE(BH137,BB137,AV137,AP137,AJ137,AD137)</f>
        <v>6.3376527660772494E-2</v>
      </c>
      <c r="BO137" s="316">
        <f>AVERAGE(BI137,BC137,AW137,AQ137,AK137,AE137)</f>
        <v>1.6747515530342764E-2</v>
      </c>
    </row>
    <row r="138" spans="1:67">
      <c r="C138" s="378"/>
      <c r="G138" s="308"/>
      <c r="I138" s="378"/>
      <c r="M138" s="308"/>
      <c r="O138" s="378"/>
      <c r="S138" s="308"/>
      <c r="U138" s="378"/>
      <c r="Y138" s="308"/>
      <c r="AA138" s="378"/>
      <c r="AE138" s="308"/>
      <c r="AG138" s="378"/>
      <c r="AK138" s="525"/>
      <c r="AL138" s="540"/>
      <c r="AQ138" s="392"/>
      <c r="AS138" s="378"/>
      <c r="AW138" s="392"/>
      <c r="AY138" s="378"/>
      <c r="BC138" s="392"/>
      <c r="BE138" s="378"/>
      <c r="BI138" s="392"/>
      <c r="BK138" s="378"/>
      <c r="BO138" s="392"/>
    </row>
    <row r="139" spans="1:67">
      <c r="A139" s="1" t="s">
        <v>113</v>
      </c>
      <c r="C139" s="377">
        <f>C64+C67+C68-C80</f>
        <v>498586</v>
      </c>
      <c r="D139" s="5">
        <f>D64+D67+D68-D80</f>
        <v>496520</v>
      </c>
      <c r="E139" s="5">
        <f>E64+E67+E68-E80</f>
        <v>513831</v>
      </c>
      <c r="F139" s="5">
        <f>F64+F67+F68-F80</f>
        <v>515880</v>
      </c>
      <c r="G139" s="307">
        <f>G64+G67+G68-G80</f>
        <v>515880</v>
      </c>
      <c r="I139" s="377">
        <f>I64+I67+I68-I80</f>
        <v>533503</v>
      </c>
      <c r="J139" s="5">
        <f>J64+J67+J68-J80</f>
        <v>571137</v>
      </c>
      <c r="K139" s="5">
        <f>K64+K67+K68-K80</f>
        <v>591726</v>
      </c>
      <c r="L139" s="5">
        <f>L64+L67+L68-L80</f>
        <v>572770</v>
      </c>
      <c r="M139" s="307">
        <f>M64+M67+M68-M80</f>
        <v>572770</v>
      </c>
      <c r="O139" s="377">
        <f>O64+O67+O68-O80</f>
        <v>617986</v>
      </c>
      <c r="P139" s="5">
        <f>P64+P67+P68-P80</f>
        <v>625682</v>
      </c>
      <c r="Q139" s="5">
        <f>Q64+Q67+Q68-Q80</f>
        <v>613148</v>
      </c>
      <c r="R139" s="5">
        <f>R64+R67+R68-R80</f>
        <v>610049</v>
      </c>
      <c r="S139" s="307">
        <f>S64+S67+S68-S80</f>
        <v>610049</v>
      </c>
      <c r="U139" s="377">
        <f>U64+U67+U68-U80</f>
        <v>651751</v>
      </c>
      <c r="V139" s="5">
        <f>V64+V67+V68-V80</f>
        <v>673296</v>
      </c>
      <c r="W139" s="5">
        <f>W64+W67+W68-W80</f>
        <v>667888</v>
      </c>
      <c r="X139" s="5">
        <f>X64+X67+X68-X80</f>
        <v>703205</v>
      </c>
      <c r="Y139" s="307">
        <f>Y64+Y67+Y68-Y80</f>
        <v>703205</v>
      </c>
      <c r="AA139" s="377">
        <f>AA64+AA67+AA68-AA80</f>
        <v>703054</v>
      </c>
      <c r="AB139" s="5">
        <f>AB64+AB67+AB68-AB80</f>
        <v>702407</v>
      </c>
      <c r="AC139" s="5">
        <f>AC64+AC67+AC68-AC80</f>
        <v>716180</v>
      </c>
      <c r="AD139" s="5">
        <f>AD64+AD67+AD68-AD80</f>
        <v>752043</v>
      </c>
      <c r="AE139" s="307">
        <f>AE64+AE67+AE68-AE80</f>
        <v>752043</v>
      </c>
      <c r="AG139" s="377">
        <f>AG64+AG67+AG68-AG80</f>
        <v>874203</v>
      </c>
      <c r="AH139" s="5">
        <f>AH64+AH67+AH68-AH80</f>
        <v>965286</v>
      </c>
      <c r="AI139" s="5">
        <f>AI64+AI67+AI68-AI80</f>
        <v>975379</v>
      </c>
      <c r="AJ139" s="5">
        <f>AJ64+AJ67+AJ68-AJ80</f>
        <v>925486</v>
      </c>
      <c r="AK139" s="528">
        <f>AK64+AK67+AK68-AK80</f>
        <v>925486</v>
      </c>
      <c r="AL139" s="540"/>
      <c r="AM139" s="5">
        <f>AM64+AM67+AM68-AM80</f>
        <v>934063.37849485409</v>
      </c>
      <c r="AN139" s="5">
        <f>AN64+AN67+AN68-AN80</f>
        <v>1088642.0916702631</v>
      </c>
      <c r="AO139" s="5">
        <f>AO64+AO67+AO68-AO80</f>
        <v>1087815.2137422126</v>
      </c>
      <c r="AP139" s="5">
        <f>AP64+AP67+AP68-AP80</f>
        <v>991814.00157492212</v>
      </c>
      <c r="AQ139" s="307">
        <f>AQ64+AQ67+AQ68-AQ80</f>
        <v>991814.00157492212</v>
      </c>
      <c r="AS139" s="377">
        <f>AS64+AS67+AS68-AS80</f>
        <v>1080407.1415484431</v>
      </c>
      <c r="AT139" s="5">
        <f>AT64+AT67+AT68-AT80</f>
        <v>1263520.4029123534</v>
      </c>
      <c r="AU139" s="5">
        <f>AU64+AU67+AU68-AU80</f>
        <v>1218270.7416345528</v>
      </c>
      <c r="AV139" s="5">
        <f>AV64+AV67+AV68-AV80</f>
        <v>1119298.9877979516</v>
      </c>
      <c r="AW139" s="307">
        <f>AW64+AW67+AW68-AW80</f>
        <v>1119298.9877979516</v>
      </c>
      <c r="AY139" s="377">
        <f>AY64+AY67+AY68-AY80</f>
        <v>1235069.4959556083</v>
      </c>
      <c r="AZ139" s="5">
        <f>AZ64+AZ67+AZ68-AZ80</f>
        <v>1450114.6721334918</v>
      </c>
      <c r="BA139" s="5">
        <f>BA64+BA67+BA68-BA80</f>
        <v>1368927.2278544307</v>
      </c>
      <c r="BB139" s="5">
        <f>BB64+BB67+BB68-BB80</f>
        <v>1279619.987416001</v>
      </c>
      <c r="BC139" s="307">
        <f>BC64+BC67+BC68-BC80</f>
        <v>1279619.987416001</v>
      </c>
      <c r="BE139" s="377">
        <f>BE64+BE67+BE68-BE80</f>
        <v>1404531.5582278031</v>
      </c>
      <c r="BF139" s="5">
        <f>BF64+BF67+BF68-BF80</f>
        <v>1721082.0945692717</v>
      </c>
      <c r="BG139" s="5">
        <f>BG64+BG67+BG68-BG80</f>
        <v>1599998.3025062205</v>
      </c>
      <c r="BH139" s="5">
        <f>BH64+BH67+BH68-BH80</f>
        <v>1502578.8631191659</v>
      </c>
      <c r="BI139" s="307">
        <f>BI64+BI67+BI68-BI80</f>
        <v>1502578.8631191659</v>
      </c>
      <c r="BK139" s="377">
        <f>BK64+BK67+BK68-BK80</f>
        <v>1666185.9140113443</v>
      </c>
      <c r="BL139" s="5">
        <f>BL64+BL67+BL68-BL80</f>
        <v>1993491.2334806728</v>
      </c>
      <c r="BM139" s="5">
        <f>BM64+BM67+BM68-BM80</f>
        <v>1850516.2165443078</v>
      </c>
      <c r="BN139" s="5">
        <f>BN64+BN67+BN68-BN80</f>
        <v>1639043.4423149368</v>
      </c>
      <c r="BO139" s="307">
        <f>BO64+BO67+BO68-BO80</f>
        <v>1639043.4423149368</v>
      </c>
    </row>
    <row r="140" spans="1:67">
      <c r="A140" s="1" t="s">
        <v>281</v>
      </c>
      <c r="C140" s="378"/>
      <c r="G140" s="308"/>
      <c r="I140" s="378"/>
      <c r="M140" s="307">
        <f>M139-G139</f>
        <v>56890</v>
      </c>
      <c r="O140" s="378"/>
      <c r="S140" s="307">
        <f>S139-M139</f>
        <v>37279</v>
      </c>
      <c r="U140" s="378"/>
      <c r="Y140" s="307">
        <f>Y139-S139</f>
        <v>93156</v>
      </c>
      <c r="AA140" s="378"/>
      <c r="AE140" s="307">
        <f>AE139-Y139</f>
        <v>48838</v>
      </c>
      <c r="AG140" s="378"/>
      <c r="AK140" s="528">
        <f>AK139-AE139</f>
        <v>173443</v>
      </c>
      <c r="AL140" s="540"/>
      <c r="AQ140" s="307">
        <f>AQ139-AK139</f>
        <v>66328.00157492212</v>
      </c>
      <c r="AS140" s="378"/>
      <c r="AW140" s="307">
        <f>AW139-AQ139</f>
        <v>127484.98622302944</v>
      </c>
      <c r="AY140" s="378"/>
      <c r="BC140" s="307">
        <f>BC139-AW139</f>
        <v>160320.99961804948</v>
      </c>
      <c r="BE140" s="378"/>
      <c r="BI140" s="307">
        <f>BI139-BC139</f>
        <v>222958.87570316484</v>
      </c>
      <c r="BK140" s="378"/>
      <c r="BO140" s="307">
        <f>BO139-BI139</f>
        <v>136464.5791957709</v>
      </c>
    </row>
    <row r="141" spans="1:67">
      <c r="C141" s="378"/>
      <c r="G141" s="308"/>
      <c r="I141" s="378"/>
      <c r="M141" s="308"/>
      <c r="O141" s="378"/>
      <c r="S141" s="308"/>
      <c r="U141" s="378"/>
      <c r="Y141" s="308"/>
      <c r="AA141" s="378"/>
      <c r="AE141" s="308"/>
      <c r="AG141" s="378"/>
      <c r="AK141" s="525"/>
      <c r="AL141" s="540"/>
      <c r="AQ141" s="392"/>
      <c r="AS141" s="378"/>
      <c r="AW141" s="392"/>
      <c r="AY141" s="378"/>
      <c r="BC141" s="392"/>
      <c r="BE141" s="378"/>
      <c r="BI141" s="392"/>
      <c r="BK141" s="378"/>
      <c r="BO141" s="392"/>
    </row>
    <row r="142" spans="1:67">
      <c r="A142" s="28" t="s">
        <v>118</v>
      </c>
      <c r="C142" s="378"/>
      <c r="G142" s="308"/>
      <c r="I142" s="378"/>
      <c r="M142" s="308"/>
      <c r="O142" s="378"/>
      <c r="S142" s="308"/>
      <c r="U142" s="378"/>
      <c r="Y142" s="308"/>
      <c r="AA142" s="378"/>
      <c r="AE142" s="308"/>
      <c r="AG142" s="378"/>
      <c r="AK142" s="525"/>
      <c r="AL142" s="540"/>
      <c r="AQ142" s="392"/>
      <c r="AS142" s="378"/>
      <c r="AW142" s="392"/>
      <c r="AY142" s="378"/>
      <c r="BC142" s="392"/>
      <c r="BE142" s="378"/>
      <c r="BI142" s="392"/>
      <c r="BK142" s="378"/>
      <c r="BO142" s="392"/>
    </row>
    <row r="143" spans="1:67">
      <c r="A143" s="1" t="s">
        <v>114</v>
      </c>
      <c r="C143" s="378"/>
      <c r="D143" s="5"/>
      <c r="E143" s="5"/>
      <c r="F143" s="5"/>
      <c r="G143" s="307">
        <f>F146</f>
        <v>0</v>
      </c>
      <c r="I143" s="377">
        <f>G146</f>
        <v>0</v>
      </c>
      <c r="J143" s="5">
        <f t="shared" ref="J143:AI143" si="273">I146</f>
        <v>0</v>
      </c>
      <c r="K143" s="5">
        <f t="shared" si="273"/>
        <v>0</v>
      </c>
      <c r="L143" s="5">
        <f t="shared" si="273"/>
        <v>0</v>
      </c>
      <c r="M143" s="307">
        <f t="shared" si="273"/>
        <v>0</v>
      </c>
      <c r="O143" s="377">
        <f>M146</f>
        <v>0</v>
      </c>
      <c r="P143" s="5">
        <f t="shared" si="273"/>
        <v>0</v>
      </c>
      <c r="Q143" s="5">
        <f t="shared" si="273"/>
        <v>0</v>
      </c>
      <c r="R143" s="5">
        <f t="shared" si="273"/>
        <v>0</v>
      </c>
      <c r="S143" s="307">
        <f t="shared" si="273"/>
        <v>0</v>
      </c>
      <c r="U143" s="377">
        <f>S146</f>
        <v>0</v>
      </c>
      <c r="V143" s="5">
        <f t="shared" si="273"/>
        <v>0</v>
      </c>
      <c r="W143" s="5">
        <f t="shared" si="273"/>
        <v>0</v>
      </c>
      <c r="X143" s="5">
        <f t="shared" si="273"/>
        <v>0</v>
      </c>
      <c r="Y143" s="307">
        <f t="shared" si="273"/>
        <v>0</v>
      </c>
      <c r="AA143" s="377">
        <f>Y146</f>
        <v>0</v>
      </c>
      <c r="AB143" s="5">
        <f t="shared" si="273"/>
        <v>0</v>
      </c>
      <c r="AC143" s="5">
        <f t="shared" si="273"/>
        <v>0</v>
      </c>
      <c r="AD143" s="5">
        <f t="shared" si="273"/>
        <v>0</v>
      </c>
      <c r="AE143" s="307">
        <f t="shared" si="273"/>
        <v>0</v>
      </c>
      <c r="AG143" s="377">
        <f>AE146</f>
        <v>0</v>
      </c>
      <c r="AH143" s="5">
        <f t="shared" si="273"/>
        <v>0</v>
      </c>
      <c r="AI143" s="5">
        <f t="shared" si="273"/>
        <v>0</v>
      </c>
      <c r="AJ143" s="5">
        <f>AI146</f>
        <v>0</v>
      </c>
      <c r="AK143" s="528">
        <f>AJ146</f>
        <v>0</v>
      </c>
      <c r="AL143" s="540"/>
      <c r="AM143" s="5">
        <f>AK70</f>
        <v>1980302</v>
      </c>
      <c r="AN143" s="5">
        <f>AM70</f>
        <v>1954105.9741197156</v>
      </c>
      <c r="AO143" s="5">
        <f>AN70</f>
        <v>1931759.4947622726</v>
      </c>
      <c r="AP143" s="5">
        <f>AO70</f>
        <v>1909715.1991226922</v>
      </c>
      <c r="AQ143" s="307"/>
      <c r="AS143" s="377">
        <f>AQ70</f>
        <v>1884913.7161752563</v>
      </c>
      <c r="AT143" s="5">
        <f>AS70</f>
        <v>1849954.2789323756</v>
      </c>
      <c r="AU143" s="5">
        <f>AT70</f>
        <v>1808093.0201199765</v>
      </c>
      <c r="AV143" s="5">
        <f>AU70</f>
        <v>1766929.4974303781</v>
      </c>
      <c r="AW143" s="307"/>
      <c r="AY143" s="377">
        <f>AW70</f>
        <v>1728547.8616576737</v>
      </c>
      <c r="AZ143" s="5">
        <f>AY70</f>
        <v>1678385.5594897454</v>
      </c>
      <c r="BA143" s="5">
        <f>AZ70</f>
        <v>1627818.3892431757</v>
      </c>
      <c r="BB143" s="5">
        <f>BA70</f>
        <v>1581853.1500198399</v>
      </c>
      <c r="BC143" s="307"/>
      <c r="BE143" s="377">
        <f>BC70</f>
        <v>1538593.9286093262</v>
      </c>
      <c r="BF143" s="5">
        <f>BE70</f>
        <v>1485830.2629759454</v>
      </c>
      <c r="BG143" s="5">
        <f>BF70</f>
        <v>1426449.3757665635</v>
      </c>
      <c r="BH143" s="5">
        <f>BG70</f>
        <v>1373435.4017955675</v>
      </c>
      <c r="BI143" s="307"/>
      <c r="BK143" s="377">
        <f>BI70</f>
        <v>1323060.3434860557</v>
      </c>
      <c r="BL143" s="5">
        <f>BK70</f>
        <v>1247233.5868623275</v>
      </c>
      <c r="BM143" s="5">
        <f>BL70</f>
        <v>1166266.2171541927</v>
      </c>
      <c r="BN143" s="5">
        <f>BM70</f>
        <v>1093359.2143330844</v>
      </c>
      <c r="BO143" s="307"/>
    </row>
    <row r="144" spans="1:67">
      <c r="A144" s="33" t="s">
        <v>115</v>
      </c>
      <c r="C144" s="378"/>
      <c r="G144" s="308"/>
      <c r="I144" s="378"/>
      <c r="M144" s="308"/>
      <c r="O144" s="378"/>
      <c r="S144" s="308"/>
      <c r="U144" s="378"/>
      <c r="Y144" s="308"/>
      <c r="AA144" s="378"/>
      <c r="AE144" s="308"/>
      <c r="AG144" s="378"/>
      <c r="AK144" s="525"/>
      <c r="AL144" s="540"/>
      <c r="AM144" s="35">
        <f>AM127*-1</f>
        <v>62677.790000000008</v>
      </c>
      <c r="AN144" s="35">
        <f>AN127*-1</f>
        <v>75410.934000000008</v>
      </c>
      <c r="AO144" s="35">
        <f>AO127*-1</f>
        <v>74391.178</v>
      </c>
      <c r="AP144" s="35">
        <f>AP127*-1</f>
        <v>68525.636000000013</v>
      </c>
      <c r="AQ144" s="412"/>
      <c r="AS144" s="411">
        <f>AS127*-1</f>
        <v>69918.874485761204</v>
      </c>
      <c r="AT144" s="35">
        <f>AT127*-1</f>
        <v>83722.517624798609</v>
      </c>
      <c r="AU144" s="35">
        <f>AU127*-1</f>
        <v>82327.045379196905</v>
      </c>
      <c r="AV144" s="35">
        <f>AV127*-1</f>
        <v>76763.271545408759</v>
      </c>
      <c r="AW144" s="412"/>
      <c r="AY144" s="411">
        <f>AY127*-1</f>
        <v>78949.065794289942</v>
      </c>
      <c r="AZ144" s="35">
        <f>AZ127*-1</f>
        <v>94355.708903058068</v>
      </c>
      <c r="BA144" s="35">
        <f>BA127*-1</f>
        <v>91699.906347833952</v>
      </c>
      <c r="BB144" s="35">
        <f>BB127*-1</f>
        <v>86538.678102519378</v>
      </c>
      <c r="BC144" s="412"/>
      <c r="BE144" s="411">
        <f>BE127*-1</f>
        <v>90001.345740770819</v>
      </c>
      <c r="BF144" s="35">
        <f>BF127*-1</f>
        <v>110801.64621855356</v>
      </c>
      <c r="BG144" s="35">
        <f>BG127*-1</f>
        <v>105762.0177857963</v>
      </c>
      <c r="BH144" s="35">
        <f>BH127*-1</f>
        <v>100773.68046164092</v>
      </c>
      <c r="BI144" s="412"/>
      <c r="BK144" s="411">
        <f>BK127*-1</f>
        <v>106312.52800343484</v>
      </c>
      <c r="BL144" s="35">
        <f>BL127*-1</f>
        <v>133294.06976986988</v>
      </c>
      <c r="BM144" s="35">
        <f>BM127*-1</f>
        <v>125099.08335443205</v>
      </c>
      <c r="BN144" s="35">
        <f>BN127*-1</f>
        <v>113428.31537792823</v>
      </c>
      <c r="BO144" s="412"/>
    </row>
    <row r="145" spans="1:67" ht="18.75">
      <c r="A145" s="33" t="s">
        <v>116</v>
      </c>
      <c r="C145" s="378"/>
      <c r="G145" s="308"/>
      <c r="I145" s="378"/>
      <c r="M145" s="308"/>
      <c r="O145" s="378"/>
      <c r="S145" s="308"/>
      <c r="U145" s="378"/>
      <c r="Y145" s="308"/>
      <c r="AA145" s="378"/>
      <c r="AE145" s="308"/>
      <c r="AG145" s="378"/>
      <c r="AK145" s="525"/>
      <c r="AL145" s="540"/>
      <c r="AM145" s="15">
        <f>AM30</f>
        <v>88873.815880284412</v>
      </c>
      <c r="AN145" s="15">
        <f>AN30</f>
        <v>97757.413357443176</v>
      </c>
      <c r="AO145" s="15">
        <f>AO30</f>
        <v>96435.473639580334</v>
      </c>
      <c r="AP145" s="15">
        <f>AP30</f>
        <v>93327.118947435956</v>
      </c>
      <c r="AQ145" s="385"/>
      <c r="AS145" s="384">
        <f>AS30</f>
        <v>104878.31172864181</v>
      </c>
      <c r="AT145" s="15">
        <f>AT30</f>
        <v>125583.7764371979</v>
      </c>
      <c r="AU145" s="15">
        <f>AU30</f>
        <v>123490.56806879534</v>
      </c>
      <c r="AV145" s="15">
        <f>AV30</f>
        <v>115144.90731811314</v>
      </c>
      <c r="AW145" s="385"/>
      <c r="AY145" s="384">
        <f>AY30</f>
        <v>129111.36796221841</v>
      </c>
      <c r="AZ145" s="15">
        <f>AZ30</f>
        <v>144922.87914962764</v>
      </c>
      <c r="BA145" s="15">
        <f>BA30</f>
        <v>137665.14557116988</v>
      </c>
      <c r="BB145" s="15">
        <f>BB30</f>
        <v>129797.89951303307</v>
      </c>
      <c r="BC145" s="385"/>
      <c r="BE145" s="384">
        <f>BE30</f>
        <v>142765.01137415183</v>
      </c>
      <c r="BF145" s="15">
        <f>BF30</f>
        <v>170182.53342793553</v>
      </c>
      <c r="BG145" s="15">
        <f>BG30</f>
        <v>158775.99175679227</v>
      </c>
      <c r="BH145" s="15">
        <f>BH30</f>
        <v>151148.73877115268</v>
      </c>
      <c r="BI145" s="385"/>
      <c r="BK145" s="384">
        <f>BK30</f>
        <v>182139.28462716303</v>
      </c>
      <c r="BL145" s="15">
        <f>BL30</f>
        <v>214261.43947800453</v>
      </c>
      <c r="BM145" s="15">
        <f>BM30</f>
        <v>198006.08617554035</v>
      </c>
      <c r="BN145" s="15">
        <f>BN30</f>
        <v>181550.21095400452</v>
      </c>
      <c r="BO145" s="385"/>
    </row>
    <row r="146" spans="1:67" ht="15">
      <c r="A146" s="28" t="s">
        <v>117</v>
      </c>
      <c r="C146" s="426"/>
      <c r="D146" s="29"/>
      <c r="E146" s="29"/>
      <c r="F146" s="29"/>
      <c r="G146" s="318"/>
      <c r="I146" s="426"/>
      <c r="J146" s="29"/>
      <c r="K146" s="29"/>
      <c r="L146" s="29"/>
      <c r="M146" s="318"/>
      <c r="O146" s="426"/>
      <c r="P146" s="29"/>
      <c r="Q146" s="29"/>
      <c r="R146" s="29"/>
      <c r="S146" s="318"/>
      <c r="U146" s="426"/>
      <c r="V146" s="29"/>
      <c r="W146" s="29"/>
      <c r="X146" s="29"/>
      <c r="Y146" s="318"/>
      <c r="AA146" s="426"/>
      <c r="AB146" s="29"/>
      <c r="AC146" s="29"/>
      <c r="AD146" s="29"/>
      <c r="AE146" s="318"/>
      <c r="AG146" s="426"/>
      <c r="AH146" s="29"/>
      <c r="AI146" s="29"/>
      <c r="AJ146" s="29"/>
      <c r="AK146" s="537"/>
      <c r="AL146" s="540"/>
      <c r="AM146" s="29">
        <f>AM143+AM144-AM145</f>
        <v>1954105.9741197156</v>
      </c>
      <c r="AN146" s="29">
        <f t="shared" ref="AN146:AP146" si="274">AN143+AN144-AN145</f>
        <v>1931759.4947622726</v>
      </c>
      <c r="AO146" s="29">
        <f t="shared" si="274"/>
        <v>1909715.1991226922</v>
      </c>
      <c r="AP146" s="29">
        <f t="shared" si="274"/>
        <v>1884913.7161752563</v>
      </c>
      <c r="AQ146" s="318"/>
      <c r="AS146" s="426">
        <f>AS143+AS144-AS145</f>
        <v>1849954.2789323756</v>
      </c>
      <c r="AT146" s="29">
        <f t="shared" ref="AT146" si="275">AT143+AT144-AT145</f>
        <v>1808093.0201199765</v>
      </c>
      <c r="AU146" s="29">
        <f t="shared" ref="AU146" si="276">AU143+AU144-AU145</f>
        <v>1766929.4974303781</v>
      </c>
      <c r="AV146" s="29">
        <f t="shared" ref="AV146" si="277">AV143+AV144-AV145</f>
        <v>1728547.8616576737</v>
      </c>
      <c r="AW146" s="318"/>
      <c r="AY146" s="426">
        <f>AY143+AY144-AY145</f>
        <v>1678385.5594897454</v>
      </c>
      <c r="AZ146" s="29">
        <f t="shared" ref="AZ146" si="278">AZ143+AZ144-AZ145</f>
        <v>1627818.3892431757</v>
      </c>
      <c r="BA146" s="29">
        <f t="shared" ref="BA146" si="279">BA143+BA144-BA145</f>
        <v>1581853.1500198399</v>
      </c>
      <c r="BB146" s="29">
        <f t="shared" ref="BB146" si="280">BB143+BB144-BB145</f>
        <v>1538593.9286093262</v>
      </c>
      <c r="BC146" s="318"/>
      <c r="BE146" s="426">
        <f>BE143+BE144-BE145</f>
        <v>1485830.2629759454</v>
      </c>
      <c r="BF146" s="29">
        <f t="shared" ref="BF146" si="281">BF143+BF144-BF145</f>
        <v>1426449.3757665635</v>
      </c>
      <c r="BG146" s="29">
        <f t="shared" ref="BG146" si="282">BG143+BG144-BG145</f>
        <v>1373435.4017955675</v>
      </c>
      <c r="BH146" s="29">
        <f t="shared" ref="BH146" si="283">BH143+BH144-BH145</f>
        <v>1323060.3434860557</v>
      </c>
      <c r="BI146" s="318"/>
      <c r="BK146" s="426">
        <f>BK143+BK144-BK145</f>
        <v>1247233.5868623275</v>
      </c>
      <c r="BL146" s="29">
        <f t="shared" ref="BL146" si="284">BL143+BL144-BL145</f>
        <v>1166266.2171541927</v>
      </c>
      <c r="BM146" s="29">
        <f t="shared" ref="BM146" si="285">BM143+BM144-BM145</f>
        <v>1093359.2143330844</v>
      </c>
      <c r="BN146" s="29">
        <f t="shared" ref="BN146" si="286">BN143+BN144-BN145</f>
        <v>1025237.3187570082</v>
      </c>
      <c r="BO146" s="318"/>
    </row>
    <row r="147" spans="1:67">
      <c r="A147" s="1" t="s">
        <v>121</v>
      </c>
      <c r="C147" s="425">
        <f>C127/C23</f>
        <v>-6.1633724803720494E-2</v>
      </c>
      <c r="D147" s="339">
        <f>D127/D23</f>
        <v>-6.1478131957470095E-2</v>
      </c>
      <c r="E147" s="339">
        <f>E127/E23</f>
        <v>-5.1589874127798523E-2</v>
      </c>
      <c r="F147" s="339">
        <f>F127/F23</f>
        <v>-5.2543273173910193E-2</v>
      </c>
      <c r="G147" s="316">
        <f>G127/G23</f>
        <v>-5.6709082376846277E-2</v>
      </c>
      <c r="I147" s="425">
        <f>I127/I23</f>
        <v>-5.6632763297936192E-2</v>
      </c>
      <c r="J147" s="339">
        <f>J127/J23</f>
        <v>-6.0858044609840546E-2</v>
      </c>
      <c r="K147" s="339">
        <f>K127/K23</f>
        <v>-6.7106588027956035E-2</v>
      </c>
      <c r="L147" s="339">
        <f>L127/L23</f>
        <v>-4.9664182408844515E-2</v>
      </c>
      <c r="M147" s="316">
        <f>M127/M23</f>
        <v>-5.8583711859183839E-2</v>
      </c>
      <c r="O147" s="425">
        <f>O127/O23</f>
        <v>-5.4379968213677854E-2</v>
      </c>
      <c r="P147" s="339">
        <f>P127/P23</f>
        <v>-8.7385659588478118E-2</v>
      </c>
      <c r="Q147" s="339">
        <f>Q127/Q23</f>
        <v>-6.2984204883431955E-2</v>
      </c>
      <c r="R147" s="339">
        <f>R127/R23</f>
        <v>-4.7980206772636209E-2</v>
      </c>
      <c r="S147" s="316">
        <f>S127/S23</f>
        <v>-6.3397407530061345E-2</v>
      </c>
      <c r="U147" s="425">
        <f>U127/U23</f>
        <v>-4.9457057897906151E-2</v>
      </c>
      <c r="V147" s="339">
        <f>V127/V23</f>
        <v>-0.11726619718309859</v>
      </c>
      <c r="W147" s="339">
        <f>W127/W23</f>
        <v>-3.1611201215381142E-2</v>
      </c>
      <c r="X147" s="339">
        <f>X127/X23</f>
        <v>-5.7648300028887579E-2</v>
      </c>
      <c r="Y147" s="316">
        <f>Y127/Y23</f>
        <v>-6.2420466035240006E-2</v>
      </c>
      <c r="AA147" s="425">
        <f>AA127/AA23</f>
        <v>-5.2542356103090028E-2</v>
      </c>
      <c r="AB147" s="339">
        <f>AB127/AB23</f>
        <v>-5.3457361261924449E-2</v>
      </c>
      <c r="AC147" s="339">
        <f>AC127/AC23</f>
        <v>-5.7453711537511602E-2</v>
      </c>
      <c r="AD147" s="339">
        <f>AD127/AD23</f>
        <v>-8.5041193195775536E-2</v>
      </c>
      <c r="AE147" s="316">
        <f>AE127/AE23</f>
        <v>-6.3553227036398791E-2</v>
      </c>
      <c r="AG147" s="425">
        <f>AG127/AG23</f>
        <v>-3.6319966743904974E-2</v>
      </c>
      <c r="AH147" s="339">
        <f>AH127/AH23</f>
        <v>-7.7843446050761184E-2</v>
      </c>
      <c r="AI147" s="339">
        <f>AI127/AI23</f>
        <v>-7.0798907772510314E-2</v>
      </c>
      <c r="AJ147" s="339">
        <f>AJ127/AJ23</f>
        <v>3.4003652302092638E-2</v>
      </c>
      <c r="AK147" s="536">
        <f>AK127/AK23</f>
        <v>-3.8920529051475777E-2</v>
      </c>
      <c r="AL147" s="540"/>
      <c r="AM147" s="339">
        <v>-0.05</v>
      </c>
      <c r="AN147" s="339">
        <f t="shared" ref="AN147:BO147" si="287">$AM$147</f>
        <v>-0.05</v>
      </c>
      <c r="AO147" s="339">
        <f t="shared" si="287"/>
        <v>-0.05</v>
      </c>
      <c r="AP147" s="339">
        <f t="shared" si="287"/>
        <v>-0.05</v>
      </c>
      <c r="AQ147" s="316">
        <f t="shared" si="287"/>
        <v>-0.05</v>
      </c>
      <c r="AS147" s="425">
        <f t="shared" si="287"/>
        <v>-0.05</v>
      </c>
      <c r="AT147" s="339">
        <f t="shared" si="287"/>
        <v>-0.05</v>
      </c>
      <c r="AU147" s="339">
        <f t="shared" si="287"/>
        <v>-0.05</v>
      </c>
      <c r="AV147" s="339">
        <f t="shared" si="287"/>
        <v>-0.05</v>
      </c>
      <c r="AW147" s="316">
        <f t="shared" si="287"/>
        <v>-0.05</v>
      </c>
      <c r="AY147" s="425">
        <f t="shared" si="287"/>
        <v>-0.05</v>
      </c>
      <c r="AZ147" s="339">
        <f t="shared" si="287"/>
        <v>-0.05</v>
      </c>
      <c r="BA147" s="339">
        <f t="shared" si="287"/>
        <v>-0.05</v>
      </c>
      <c r="BB147" s="339">
        <f t="shared" si="287"/>
        <v>-0.05</v>
      </c>
      <c r="BC147" s="316">
        <f t="shared" si="287"/>
        <v>-0.05</v>
      </c>
      <c r="BE147" s="425">
        <f t="shared" si="287"/>
        <v>-0.05</v>
      </c>
      <c r="BF147" s="339">
        <f t="shared" si="287"/>
        <v>-0.05</v>
      </c>
      <c r="BG147" s="339">
        <f t="shared" si="287"/>
        <v>-0.05</v>
      </c>
      <c r="BH147" s="339">
        <f t="shared" si="287"/>
        <v>-0.05</v>
      </c>
      <c r="BI147" s="316">
        <f t="shared" si="287"/>
        <v>-0.05</v>
      </c>
      <c r="BK147" s="425">
        <f t="shared" si="287"/>
        <v>-0.05</v>
      </c>
      <c r="BL147" s="339">
        <f t="shared" si="287"/>
        <v>-0.05</v>
      </c>
      <c r="BM147" s="339">
        <f t="shared" si="287"/>
        <v>-0.05</v>
      </c>
      <c r="BN147" s="339">
        <f t="shared" si="287"/>
        <v>-0.05</v>
      </c>
      <c r="BO147" s="316">
        <f t="shared" si="287"/>
        <v>-0.05</v>
      </c>
    </row>
    <row r="148" spans="1:67">
      <c r="C148" s="378"/>
      <c r="G148" s="308"/>
      <c r="I148" s="378"/>
      <c r="M148" s="308"/>
      <c r="O148" s="378"/>
      <c r="S148" s="308"/>
      <c r="U148" s="378"/>
      <c r="Y148" s="308"/>
      <c r="AA148" s="378"/>
      <c r="AE148" s="308"/>
      <c r="AG148" s="378"/>
      <c r="AK148" s="525"/>
      <c r="AL148" s="540"/>
      <c r="AQ148" s="392"/>
      <c r="AS148" s="378"/>
      <c r="AW148" s="392"/>
      <c r="AY148" s="378"/>
      <c r="BC148" s="392"/>
      <c r="BE148" s="378"/>
      <c r="BI148" s="392"/>
      <c r="BK148" s="378"/>
      <c r="BO148" s="392"/>
    </row>
    <row r="149" spans="1:67">
      <c r="A149" s="1" t="s">
        <v>360</v>
      </c>
      <c r="C149" s="377">
        <f>C79</f>
        <v>0</v>
      </c>
      <c r="D149" s="5">
        <f>D79</f>
        <v>107798</v>
      </c>
      <c r="E149" s="5">
        <f>E79</f>
        <v>4000</v>
      </c>
      <c r="F149" s="5">
        <f>F79</f>
        <v>4000</v>
      </c>
      <c r="G149" s="307">
        <f>G79</f>
        <v>4000</v>
      </c>
      <c r="I149" s="377">
        <f>I79</f>
        <v>4000</v>
      </c>
      <c r="J149" s="5">
        <f>J79</f>
        <v>4000</v>
      </c>
      <c r="K149" s="5">
        <f>K79</f>
        <v>7535</v>
      </c>
      <c r="L149" s="5">
        <f>L79</f>
        <v>7535</v>
      </c>
      <c r="M149" s="307">
        <f>M79</f>
        <v>7535</v>
      </c>
      <c r="O149" s="377">
        <f>O79</f>
        <v>7535</v>
      </c>
      <c r="P149" s="5">
        <f>P79</f>
        <v>7535</v>
      </c>
      <c r="Q149" s="5">
        <f>Q79</f>
        <v>7535</v>
      </c>
      <c r="R149" s="5">
        <f>R79</f>
        <v>7535</v>
      </c>
      <c r="S149" s="307">
        <f>S79</f>
        <v>7535</v>
      </c>
      <c r="U149" s="377">
        <f>U79</f>
        <v>7535</v>
      </c>
      <c r="V149" s="5">
        <f>V79</f>
        <v>7535</v>
      </c>
      <c r="W149" s="5">
        <f>W79</f>
        <v>7535</v>
      </c>
      <c r="X149" s="5">
        <f>X79</f>
        <v>7535</v>
      </c>
      <c r="Y149" s="307">
        <f>Y79</f>
        <v>7535</v>
      </c>
      <c r="AA149" s="377">
        <f>AA79</f>
        <v>7535</v>
      </c>
      <c r="AB149" s="5">
        <f>AB79</f>
        <v>7535</v>
      </c>
      <c r="AC149" s="5">
        <f>AC79</f>
        <v>7535</v>
      </c>
      <c r="AD149" s="5">
        <f>AD79</f>
        <v>17535</v>
      </c>
      <c r="AE149" s="307">
        <f>AE79</f>
        <v>17535</v>
      </c>
      <c r="AG149" s="377">
        <f>AG79</f>
        <v>17535</v>
      </c>
      <c r="AH149" s="5">
        <f>AH79</f>
        <v>17535</v>
      </c>
      <c r="AI149" s="5">
        <f>AI79</f>
        <v>17535</v>
      </c>
      <c r="AJ149" s="5">
        <f>AJ79</f>
        <v>10000</v>
      </c>
      <c r="AK149" s="528">
        <f>AK79</f>
        <v>10000</v>
      </c>
      <c r="AL149" s="540"/>
      <c r="AM149" s="35">
        <f>AM29*AM154</f>
        <v>7962.8954130525435</v>
      </c>
      <c r="AN149" s="35">
        <f>AN29*AN154</f>
        <v>11286.418952887027</v>
      </c>
      <c r="AO149" s="35">
        <f>AO29*AO154</f>
        <v>11099.93144172577</v>
      </c>
      <c r="AP149" s="35">
        <f>AP29*AP154</f>
        <v>8912.771076722338</v>
      </c>
      <c r="AQ149" s="412">
        <f>AQ29*AQ154</f>
        <v>14829.473360267344</v>
      </c>
      <c r="AS149" s="411">
        <f>AS29*AS154</f>
        <v>9130.9850829143179</v>
      </c>
      <c r="AT149" s="35">
        <f>AT29*AT154</f>
        <v>12934.545926621175</v>
      </c>
      <c r="AU149" s="35">
        <f>AU29*AU154</f>
        <v>12666.520151229684</v>
      </c>
      <c r="AV149" s="35">
        <f>AV29*AV154</f>
        <v>10268.348138082049</v>
      </c>
      <c r="AW149" s="412">
        <f>AW29*AW154</f>
        <v>16996.891030043076</v>
      </c>
      <c r="AY149" s="411">
        <f>AY29*AY154</f>
        <v>10204.509834109413</v>
      </c>
      <c r="AZ149" s="35">
        <f>AZ29*AZ154</f>
        <v>13607.863157983204</v>
      </c>
      <c r="BA149" s="35">
        <f>BA29*BA154</f>
        <v>13252.732804081279</v>
      </c>
      <c r="BB149" s="35">
        <f>BB29*BB154</f>
        <v>11959.717770268962</v>
      </c>
      <c r="BC149" s="412">
        <f>BC29*BC154</f>
        <v>18516.937558535425</v>
      </c>
      <c r="BE149" s="411">
        <f>BE29*BE154</f>
        <v>11443.1691020575</v>
      </c>
      <c r="BF149" s="35">
        <f>BF29*BF154</f>
        <v>16494.103256233309</v>
      </c>
      <c r="BG149" s="35">
        <f>BG29*BG154</f>
        <v>15611.920557716086</v>
      </c>
      <c r="BH149" s="35">
        <f>BH29*BH154</f>
        <v>14024.101268162529</v>
      </c>
      <c r="BI149" s="412">
        <f>BI29*BI154</f>
        <v>21745.740543106873</v>
      </c>
      <c r="BK149" s="411">
        <f>BK29*BK154</f>
        <v>13234.259509570415</v>
      </c>
      <c r="BL149" s="35">
        <f>BL29*BL154</f>
        <v>18771.536923638316</v>
      </c>
      <c r="BM149" s="35">
        <f>BM29*BM154</f>
        <v>17649.390842498899</v>
      </c>
      <c r="BN149" s="35">
        <f>BN29*BN154</f>
        <v>14536.337145190086</v>
      </c>
      <c r="BO149" s="412">
        <f>BO29*BO154</f>
        <v>24245.481432034685</v>
      </c>
    </row>
    <row r="150" spans="1:67">
      <c r="A150" s="1" t="s">
        <v>361</v>
      </c>
      <c r="C150" s="377">
        <f>C89</f>
        <v>1633968</v>
      </c>
      <c r="D150" s="5">
        <f>D89</f>
        <v>1626505</v>
      </c>
      <c r="E150" s="5">
        <f>E89</f>
        <v>1625971</v>
      </c>
      <c r="F150" s="5">
        <f>F89</f>
        <v>1625537</v>
      </c>
      <c r="G150" s="307">
        <f>G89</f>
        <v>1625537</v>
      </c>
      <c r="I150" s="377">
        <f>I89</f>
        <v>1625259</v>
      </c>
      <c r="J150" s="5">
        <f>J89</f>
        <v>1624727</v>
      </c>
      <c r="K150" s="5">
        <f>K89</f>
        <v>1616156</v>
      </c>
      <c r="L150" s="5">
        <f>L89</f>
        <v>1565021</v>
      </c>
      <c r="M150" s="307">
        <f>M89</f>
        <v>1565021</v>
      </c>
      <c r="O150" s="377">
        <f>O89</f>
        <v>1564005</v>
      </c>
      <c r="P150" s="5">
        <f>P89</f>
        <v>1562989</v>
      </c>
      <c r="Q150" s="5">
        <f>Q89</f>
        <v>1555257</v>
      </c>
      <c r="R150" s="5">
        <f>R89</f>
        <v>1554116</v>
      </c>
      <c r="S150" s="307">
        <f>S89</f>
        <v>1554116</v>
      </c>
      <c r="U150" s="377">
        <f>U89</f>
        <v>1702992</v>
      </c>
      <c r="V150" s="5">
        <f>V89</f>
        <v>1626871</v>
      </c>
      <c r="W150" s="5">
        <f>W89</f>
        <v>1550756</v>
      </c>
      <c r="X150" s="5">
        <f>X89</f>
        <v>1549641</v>
      </c>
      <c r="Y150" s="307">
        <f>Y89</f>
        <v>1549641</v>
      </c>
      <c r="AA150" s="377">
        <f>AA89</f>
        <v>1548517</v>
      </c>
      <c r="AB150" s="5">
        <f>AB89</f>
        <v>1547398</v>
      </c>
      <c r="AC150" s="5">
        <f>AC89</f>
        <v>1546284</v>
      </c>
      <c r="AD150" s="5">
        <f>AD89</f>
        <v>2517024</v>
      </c>
      <c r="AE150" s="307">
        <f>AE89</f>
        <v>2517024</v>
      </c>
      <c r="AG150" s="377">
        <f>AG89</f>
        <v>2513944</v>
      </c>
      <c r="AH150" s="5">
        <f>AH89</f>
        <v>2510963</v>
      </c>
      <c r="AI150" s="5">
        <f>AI89</f>
        <v>2507946</v>
      </c>
      <c r="AJ150" s="5">
        <f>AJ89</f>
        <v>2414828</v>
      </c>
      <c r="AK150" s="528">
        <f>AJ89</f>
        <v>2414828</v>
      </c>
      <c r="AL150" s="540"/>
      <c r="AM150" s="5">
        <f>AJ150-AM149</f>
        <v>2406865.1045869472</v>
      </c>
      <c r="AN150" s="5">
        <f t="shared" ref="AN150:BO150" si="288">AM150-AN149</f>
        <v>2395578.6856340603</v>
      </c>
      <c r="AO150" s="5">
        <f t="shared" si="288"/>
        <v>2384478.7541923346</v>
      </c>
      <c r="AP150" s="5">
        <f t="shared" si="288"/>
        <v>2375565.9831156121</v>
      </c>
      <c r="AQ150" s="307">
        <f>AP150-AQ149</f>
        <v>2360736.5097553446</v>
      </c>
      <c r="AS150" s="377">
        <f>AQ150-AS149</f>
        <v>2351605.5246724305</v>
      </c>
      <c r="AT150" s="5">
        <f t="shared" si="288"/>
        <v>2338670.9787458093</v>
      </c>
      <c r="AU150" s="5">
        <f t="shared" si="288"/>
        <v>2326004.4585945797</v>
      </c>
      <c r="AV150" s="5">
        <f t="shared" si="288"/>
        <v>2315736.1104564979</v>
      </c>
      <c r="AW150" s="307">
        <f t="shared" si="288"/>
        <v>2298739.219426455</v>
      </c>
      <c r="AY150" s="377">
        <f>AW150-AY149</f>
        <v>2288534.7095923456</v>
      </c>
      <c r="AZ150" s="5">
        <f t="shared" si="288"/>
        <v>2274926.8464343622</v>
      </c>
      <c r="BA150" s="5">
        <f t="shared" si="288"/>
        <v>2261674.1136302808</v>
      </c>
      <c r="BB150" s="5">
        <f t="shared" si="288"/>
        <v>2249714.3958600117</v>
      </c>
      <c r="BC150" s="307">
        <f t="shared" si="288"/>
        <v>2231197.4583014762</v>
      </c>
      <c r="BE150" s="377">
        <f>BC150-BE149</f>
        <v>2219754.2891994189</v>
      </c>
      <c r="BF150" s="5">
        <f t="shared" si="288"/>
        <v>2203260.1859431854</v>
      </c>
      <c r="BG150" s="5">
        <f t="shared" si="288"/>
        <v>2187648.2653854694</v>
      </c>
      <c r="BH150" s="5">
        <f t="shared" si="288"/>
        <v>2173624.1641173069</v>
      </c>
      <c r="BI150" s="307">
        <f t="shared" si="288"/>
        <v>2151878.4235741999</v>
      </c>
      <c r="BK150" s="377">
        <f>BI150-BK149</f>
        <v>2138644.1640646295</v>
      </c>
      <c r="BL150" s="5">
        <f t="shared" si="288"/>
        <v>2119872.6271409909</v>
      </c>
      <c r="BM150" s="5">
        <f t="shared" si="288"/>
        <v>2102223.2362984922</v>
      </c>
      <c r="BN150" s="5">
        <f t="shared" si="288"/>
        <v>2087686.8991533022</v>
      </c>
      <c r="BO150" s="307">
        <f t="shared" si="288"/>
        <v>2063441.4177212676</v>
      </c>
    </row>
    <row r="151" spans="1:67">
      <c r="A151" s="1" t="s">
        <v>362</v>
      </c>
      <c r="C151" s="377">
        <f>C35*-1</f>
        <v>22576</v>
      </c>
      <c r="D151" s="5">
        <f>D35*-1</f>
        <v>22492</v>
      </c>
      <c r="E151" s="5">
        <f>E35*-1</f>
        <v>20675</v>
      </c>
      <c r="F151" s="5">
        <f>F35*-1</f>
        <v>20065</v>
      </c>
      <c r="G151" s="307">
        <f>G35*-1</f>
        <v>85808</v>
      </c>
      <c r="I151" s="377">
        <f>I35*-1</f>
        <v>20270</v>
      </c>
      <c r="J151" s="5">
        <f>J35*-1</f>
        <v>20769</v>
      </c>
      <c r="K151" s="5">
        <f>K35*-1</f>
        <v>19916</v>
      </c>
      <c r="L151" s="5">
        <f>L35*-1</f>
        <v>20139</v>
      </c>
      <c r="M151" s="307">
        <f>M35*-1</f>
        <v>81094</v>
      </c>
      <c r="O151" s="377">
        <f>O35*-1</f>
        <v>19764</v>
      </c>
      <c r="P151" s="5">
        <f>P35*-1</f>
        <v>20215</v>
      </c>
      <c r="Q151" s="5">
        <f>Q35*-1</f>
        <v>19702</v>
      </c>
      <c r="R151" s="5">
        <f>R35*-1</f>
        <v>18989</v>
      </c>
      <c r="S151" s="307">
        <f>S35*-1</f>
        <v>78670</v>
      </c>
      <c r="U151" s="377">
        <f>U35*-1</f>
        <v>18787</v>
      </c>
      <c r="V151" s="5">
        <f>V35*-1</f>
        <v>18654</v>
      </c>
      <c r="W151" s="5">
        <f>W35*-1</f>
        <v>17407</v>
      </c>
      <c r="X151" s="5">
        <f>X35*-1</f>
        <v>18272</v>
      </c>
      <c r="Y151" s="307">
        <f>Y35*-1</f>
        <v>73120</v>
      </c>
      <c r="AA151" s="377">
        <f>AA35*-1</f>
        <v>17918</v>
      </c>
      <c r="AB151" s="5">
        <f>AB35*-1</f>
        <v>18051</v>
      </c>
      <c r="AC151" s="5">
        <f>AC35*-1</f>
        <v>17984</v>
      </c>
      <c r="AD151" s="5">
        <f>AD35*-1</f>
        <v>23704</v>
      </c>
      <c r="AE151" s="307">
        <f>AE35*-1</f>
        <v>77657</v>
      </c>
      <c r="AG151" s="377">
        <f>AG35*-1</f>
        <v>25017</v>
      </c>
      <c r="AH151" s="5">
        <f>AH35*-1</f>
        <v>26256</v>
      </c>
      <c r="AI151" s="5">
        <f>AI35*-1</f>
        <v>28081</v>
      </c>
      <c r="AJ151" s="5">
        <f>AJ35*-1</f>
        <v>28309</v>
      </c>
      <c r="AK151" s="528">
        <f>AK35*-1</f>
        <v>107663</v>
      </c>
      <c r="AL151" s="540"/>
      <c r="AM151" s="35">
        <f>AM150*AM152</f>
        <v>45295.564703320444</v>
      </c>
      <c r="AN151" s="35">
        <f t="shared" ref="AN151:BO151" si="289">AN150*AN152</f>
        <v>45083.161972907765</v>
      </c>
      <c r="AO151" s="35">
        <f t="shared" si="289"/>
        <v>44874.268810651629</v>
      </c>
      <c r="AP151" s="35">
        <f t="shared" si="289"/>
        <v>44706.53651928965</v>
      </c>
      <c r="AQ151" s="412">
        <f t="shared" si="289"/>
        <v>177709.82365622019</v>
      </c>
      <c r="AS151" s="411">
        <f t="shared" si="289"/>
        <v>44255.616983472704</v>
      </c>
      <c r="AT151" s="35">
        <f t="shared" si="289"/>
        <v>44012.197624069973</v>
      </c>
      <c r="AU151" s="35">
        <f t="shared" si="289"/>
        <v>43773.822327514084</v>
      </c>
      <c r="AV151" s="35">
        <f t="shared" si="289"/>
        <v>43580.578997591561</v>
      </c>
      <c r="AW151" s="412">
        <f t="shared" si="289"/>
        <v>173042.83626225125</v>
      </c>
      <c r="AY151" s="411">
        <f t="shared" si="289"/>
        <v>43068.667129113739</v>
      </c>
      <c r="AZ151" s="35">
        <f t="shared" si="289"/>
        <v>42812.576397243603</v>
      </c>
      <c r="BA151" s="35">
        <f t="shared" si="289"/>
        <v>42563.168977160494</v>
      </c>
      <c r="BB151" s="35">
        <f t="shared" si="289"/>
        <v>42338.095220818992</v>
      </c>
      <c r="BC151" s="412">
        <f t="shared" si="289"/>
        <v>167958.47618676172</v>
      </c>
      <c r="BE151" s="411">
        <f t="shared" si="289"/>
        <v>41774.266385053743</v>
      </c>
      <c r="BF151" s="35">
        <f t="shared" si="289"/>
        <v>41463.858577053972</v>
      </c>
      <c r="BG151" s="35">
        <f t="shared" si="289"/>
        <v>41170.052847593914</v>
      </c>
      <c r="BH151" s="35">
        <f t="shared" si="289"/>
        <v>40906.128797514262</v>
      </c>
      <c r="BI151" s="412">
        <f t="shared" si="289"/>
        <v>161987.55498665426</v>
      </c>
      <c r="BK151" s="411">
        <f t="shared" si="289"/>
        <v>40247.828981422106</v>
      </c>
      <c r="BL151" s="35">
        <f t="shared" si="289"/>
        <v>39894.561420358958</v>
      </c>
      <c r="BM151" s="35">
        <f t="shared" si="289"/>
        <v>39562.41188553167</v>
      </c>
      <c r="BN151" s="35">
        <f t="shared" si="289"/>
        <v>39288.847904544775</v>
      </c>
      <c r="BO151" s="412">
        <f t="shared" si="289"/>
        <v>155330.25771952409</v>
      </c>
    </row>
    <row r="152" spans="1:67">
      <c r="A152" s="1" t="s">
        <v>363</v>
      </c>
      <c r="C152" s="427">
        <f>C151/C150</f>
        <v>1.3816672052329055E-2</v>
      </c>
      <c r="D152" s="340">
        <f t="shared" ref="D152:AK152" si="290">D151/D150</f>
        <v>1.3828423521599995E-2</v>
      </c>
      <c r="E152" s="340">
        <f t="shared" si="290"/>
        <v>1.2715478935356166E-2</v>
      </c>
      <c r="F152" s="340">
        <f t="shared" si="290"/>
        <v>1.2343613218278022E-2</v>
      </c>
      <c r="G152" s="319">
        <f t="shared" si="290"/>
        <v>5.2787478845452304E-2</v>
      </c>
      <c r="I152" s="427">
        <f t="shared" si="290"/>
        <v>1.2471858331502855E-2</v>
      </c>
      <c r="J152" s="340">
        <f t="shared" si="290"/>
        <v>1.2783070632789386E-2</v>
      </c>
      <c r="K152" s="340">
        <f t="shared" si="290"/>
        <v>1.2323067822660684E-2</v>
      </c>
      <c r="L152" s="340">
        <f t="shared" si="290"/>
        <v>1.2868197934724199E-2</v>
      </c>
      <c r="M152" s="319">
        <f t="shared" si="290"/>
        <v>5.1816557094122057E-2</v>
      </c>
      <c r="O152" s="427">
        <f t="shared" si="290"/>
        <v>1.2636788245561874E-2</v>
      </c>
      <c r="P152" s="340">
        <f t="shared" si="290"/>
        <v>1.2933552315467351E-2</v>
      </c>
      <c r="Q152" s="340">
        <f t="shared" si="290"/>
        <v>1.2668002780247895E-2</v>
      </c>
      <c r="R152" s="340">
        <f t="shared" si="290"/>
        <v>1.2218521654754214E-2</v>
      </c>
      <c r="S152" s="319">
        <f t="shared" si="290"/>
        <v>5.0620417008768973E-2</v>
      </c>
      <c r="U152" s="427">
        <f t="shared" si="290"/>
        <v>1.1031760571981547E-2</v>
      </c>
      <c r="V152" s="340">
        <f t="shared" si="290"/>
        <v>1.1466182629108269E-2</v>
      </c>
      <c r="W152" s="340">
        <f t="shared" si="290"/>
        <v>1.1224847751677246E-2</v>
      </c>
      <c r="X152" s="340">
        <f t="shared" si="290"/>
        <v>1.1791118071863097E-2</v>
      </c>
      <c r="Y152" s="319">
        <f t="shared" si="290"/>
        <v>4.718512223153621E-2</v>
      </c>
      <c r="AA152" s="427">
        <f t="shared" si="290"/>
        <v>1.1571070902030781E-2</v>
      </c>
      <c r="AB152" s="340">
        <f t="shared" si="290"/>
        <v>1.1665389253443523E-2</v>
      </c>
      <c r="AC152" s="340">
        <f t="shared" si="290"/>
        <v>1.1630463744047019E-2</v>
      </c>
      <c r="AD152" s="340">
        <f t="shared" si="290"/>
        <v>9.4174707909022715E-3</v>
      </c>
      <c r="AE152" s="319">
        <f t="shared" si="290"/>
        <v>3.0852705417191095E-2</v>
      </c>
      <c r="AG152" s="427">
        <f t="shared" si="290"/>
        <v>9.9512956533637977E-3</v>
      </c>
      <c r="AH152" s="340">
        <f t="shared" si="290"/>
        <v>1.045654595467954E-2</v>
      </c>
      <c r="AI152" s="340">
        <f t="shared" si="290"/>
        <v>1.1196812052572105E-2</v>
      </c>
      <c r="AJ152" s="340">
        <f t="shared" si="290"/>
        <v>1.1722988138285626E-2</v>
      </c>
      <c r="AK152" s="538">
        <f t="shared" si="290"/>
        <v>4.4584127730836316E-2</v>
      </c>
      <c r="AL152" s="540"/>
      <c r="AM152" s="433">
        <f>AVERAGE(C152:AK152)</f>
        <v>1.8819320042904448E-2</v>
      </c>
      <c r="AN152" s="433">
        <f>AM152</f>
        <v>1.8819320042904448E-2</v>
      </c>
      <c r="AO152" s="433">
        <f t="shared" ref="AO152:AP152" si="291">AN152</f>
        <v>1.8819320042904448E-2</v>
      </c>
      <c r="AP152" s="433">
        <f t="shared" si="291"/>
        <v>1.8819320042904448E-2</v>
      </c>
      <c r="AQ152" s="434">
        <f>SUM(AM152:AP152)</f>
        <v>7.5277280171617791E-2</v>
      </c>
      <c r="AS152" s="432">
        <f>AP152</f>
        <v>1.8819320042904448E-2</v>
      </c>
      <c r="AT152" s="433">
        <f t="shared" ref="AT152:AV152" si="292">AS152</f>
        <v>1.8819320042904448E-2</v>
      </c>
      <c r="AU152" s="433">
        <f t="shared" si="292"/>
        <v>1.8819320042904448E-2</v>
      </c>
      <c r="AV152" s="433">
        <f t="shared" si="292"/>
        <v>1.8819320042904448E-2</v>
      </c>
      <c r="AW152" s="434">
        <f>SUM(AS152:AV152)</f>
        <v>7.5277280171617791E-2</v>
      </c>
      <c r="AY152" s="432">
        <f>AV152</f>
        <v>1.8819320042904448E-2</v>
      </c>
      <c r="AZ152" s="433">
        <f>AY152</f>
        <v>1.8819320042904448E-2</v>
      </c>
      <c r="BA152" s="433">
        <f t="shared" ref="BA152:BB152" si="293">AY152</f>
        <v>1.8819320042904448E-2</v>
      </c>
      <c r="BB152" s="433">
        <f t="shared" si="293"/>
        <v>1.8819320042904448E-2</v>
      </c>
      <c r="BC152" s="434">
        <f>SUM(AY152:BB152)</f>
        <v>7.5277280171617791E-2</v>
      </c>
      <c r="BE152" s="432">
        <f>BB152</f>
        <v>1.8819320042904448E-2</v>
      </c>
      <c r="BF152" s="433">
        <f>BE152</f>
        <v>1.8819320042904448E-2</v>
      </c>
      <c r="BG152" s="433">
        <f t="shared" ref="BG152:BH152" si="294">BE152</f>
        <v>1.8819320042904448E-2</v>
      </c>
      <c r="BH152" s="433">
        <f t="shared" si="294"/>
        <v>1.8819320042904448E-2</v>
      </c>
      <c r="BI152" s="434">
        <f>SUM(BE152:BH152)</f>
        <v>7.5277280171617791E-2</v>
      </c>
      <c r="BK152" s="432">
        <f>BH152</f>
        <v>1.8819320042904448E-2</v>
      </c>
      <c r="BL152" s="433">
        <f>BK152</f>
        <v>1.8819320042904448E-2</v>
      </c>
      <c r="BM152" s="433">
        <f t="shared" ref="BM152:BN152" si="295">BL152</f>
        <v>1.8819320042904448E-2</v>
      </c>
      <c r="BN152" s="433">
        <f t="shared" si="295"/>
        <v>1.8819320042904448E-2</v>
      </c>
      <c r="BO152" s="434">
        <f>SUM(BK152:BN152)</f>
        <v>7.5277280171617791E-2</v>
      </c>
    </row>
    <row r="153" spans="1:67">
      <c r="C153" s="378"/>
      <c r="G153" s="308"/>
      <c r="I153" s="378"/>
      <c r="M153" s="308"/>
      <c r="O153" s="378"/>
      <c r="S153" s="308"/>
      <c r="U153" s="378"/>
      <c r="Y153" s="308"/>
      <c r="AA153" s="378"/>
      <c r="AE153" s="308"/>
      <c r="AG153" s="378"/>
      <c r="AK153" s="525"/>
      <c r="AL153" s="540"/>
      <c r="AQ153" s="392"/>
      <c r="AS153" s="378"/>
      <c r="AW153" s="392"/>
      <c r="AY153" s="378"/>
      <c r="BC153" s="392"/>
      <c r="BE153" s="378"/>
      <c r="BI153" s="392"/>
      <c r="BK153" s="378"/>
      <c r="BO153" s="392"/>
    </row>
    <row r="154" spans="1:67" ht="17.25" thickBot="1">
      <c r="A154" s="1" t="s">
        <v>358</v>
      </c>
      <c r="C154" s="428"/>
      <c r="D154" s="429"/>
      <c r="E154" s="429"/>
      <c r="F154" s="326"/>
      <c r="G154" s="430">
        <f>G79/G29</f>
        <v>9.6108333313310763E-3</v>
      </c>
      <c r="I154" s="431"/>
      <c r="J154" s="326"/>
      <c r="K154" s="326"/>
      <c r="L154" s="326"/>
      <c r="M154" s="430">
        <f>M79/M29</f>
        <v>1.5658802283462767E-2</v>
      </c>
      <c r="O154" s="431"/>
      <c r="P154" s="326"/>
      <c r="Q154" s="326"/>
      <c r="R154" s="326"/>
      <c r="S154" s="430">
        <f>S79/S29</f>
        <v>1.4212127556438274E-2</v>
      </c>
      <c r="U154" s="431"/>
      <c r="V154" s="326"/>
      <c r="W154" s="326"/>
      <c r="X154" s="326"/>
      <c r="Y154" s="430">
        <f>Y79/Y29</f>
        <v>1.3844715030381203E-2</v>
      </c>
      <c r="AA154" s="431"/>
      <c r="AB154" s="326"/>
      <c r="AC154" s="326"/>
      <c r="AD154" s="326"/>
      <c r="AE154" s="430">
        <f>AE79/AE29</f>
        <v>2.7143038472374006E-2</v>
      </c>
      <c r="AG154" s="431"/>
      <c r="AH154" s="326"/>
      <c r="AI154" s="326"/>
      <c r="AJ154" s="326"/>
      <c r="AK154" s="539">
        <f>AK79/AK29</f>
        <v>1.017976446060991E-2</v>
      </c>
      <c r="AL154" s="540"/>
      <c r="AM154" s="436">
        <v>0.04</v>
      </c>
      <c r="AN154" s="436">
        <v>0.04</v>
      </c>
      <c r="AO154" s="436">
        <v>0.04</v>
      </c>
      <c r="AP154" s="436">
        <v>0.04</v>
      </c>
      <c r="AQ154" s="437">
        <f>AVERAGE($AK$154,$AE$154,$Y$154,$S$154,$M$154,$G$154)</f>
        <v>1.5108213522432872E-2</v>
      </c>
      <c r="AS154" s="435">
        <f>AM154</f>
        <v>0.04</v>
      </c>
      <c r="AT154" s="436">
        <f t="shared" ref="AT154:AV154" si="296">AN154</f>
        <v>0.04</v>
      </c>
      <c r="AU154" s="436">
        <f t="shared" si="296"/>
        <v>0.04</v>
      </c>
      <c r="AV154" s="436">
        <f t="shared" si="296"/>
        <v>0.04</v>
      </c>
      <c r="AW154" s="437">
        <f>AVERAGE($AK$154,$AE$154,$Y$154,$S$154,$M$154,$G$154)</f>
        <v>1.5108213522432872E-2</v>
      </c>
      <c r="AY154" s="435">
        <f>AS154</f>
        <v>0.04</v>
      </c>
      <c r="AZ154" s="436">
        <f t="shared" ref="AZ154" si="297">AT154</f>
        <v>0.04</v>
      </c>
      <c r="BA154" s="436">
        <f t="shared" ref="BA154" si="298">AU154</f>
        <v>0.04</v>
      </c>
      <c r="BB154" s="436">
        <f t="shared" ref="BB154" si="299">AV154</f>
        <v>0.04</v>
      </c>
      <c r="BC154" s="437">
        <f>AVERAGE($AK$154,$AE$154,$Y$154,$S$154,$M$154,$G$154)</f>
        <v>1.5108213522432872E-2</v>
      </c>
      <c r="BE154" s="435">
        <f>AY154</f>
        <v>0.04</v>
      </c>
      <c r="BF154" s="436">
        <f t="shared" ref="BF154" si="300">AZ154</f>
        <v>0.04</v>
      </c>
      <c r="BG154" s="436">
        <f t="shared" ref="BG154" si="301">BA154</f>
        <v>0.04</v>
      </c>
      <c r="BH154" s="436">
        <f t="shared" ref="BH154" si="302">BB154</f>
        <v>0.04</v>
      </c>
      <c r="BI154" s="437">
        <f>AVERAGE($AK$154,$AE$154,$Y$154,$S$154,$M$154,$G$154)</f>
        <v>1.5108213522432872E-2</v>
      </c>
      <c r="BK154" s="435">
        <f>BE154</f>
        <v>0.04</v>
      </c>
      <c r="BL154" s="436">
        <f t="shared" ref="BL154" si="303">BF154</f>
        <v>0.04</v>
      </c>
      <c r="BM154" s="436">
        <f t="shared" ref="BM154" si="304">BG154</f>
        <v>0.04</v>
      </c>
      <c r="BN154" s="436">
        <f t="shared" ref="BN154" si="305">BH154</f>
        <v>0.04</v>
      </c>
      <c r="BO154" s="437">
        <f>AVERAGE($AK$154,$AE$154,$Y$154,$S$154,$M$154,$G$154)</f>
        <v>1.5108213522432872E-2</v>
      </c>
    </row>
    <row r="155" spans="1:67">
      <c r="AM155" s="295"/>
    </row>
  </sheetData>
  <mergeCells count="11">
    <mergeCell ref="AG1:AK1"/>
    <mergeCell ref="C1:G1"/>
    <mergeCell ref="I1:M1"/>
    <mergeCell ref="O1:S1"/>
    <mergeCell ref="U1:Y1"/>
    <mergeCell ref="AA1:AE1"/>
    <mergeCell ref="AM1:AQ1"/>
    <mergeCell ref="AS1:AW1"/>
    <mergeCell ref="AY1:BC1"/>
    <mergeCell ref="BE1:BI1"/>
    <mergeCell ref="BK1:BO1"/>
  </mergeCells>
  <phoneticPr fontId="5"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60940-AD12-4BD3-A489-E69670ADE56F}">
  <dimension ref="B1:M39"/>
  <sheetViews>
    <sheetView showGridLines="0" workbookViewId="0">
      <selection activeCell="D27" sqref="D27"/>
    </sheetView>
  </sheetViews>
  <sheetFormatPr defaultRowHeight="15"/>
  <cols>
    <col min="1" max="1" width="1.7109375" customWidth="1"/>
    <col min="2" max="2" width="36.85546875" bestFit="1" customWidth="1"/>
    <col min="3" max="3" width="8.42578125" bestFit="1" customWidth="1"/>
    <col min="4" max="4" width="15.7109375" bestFit="1" customWidth="1"/>
    <col min="5" max="5" width="10.5703125" bestFit="1" customWidth="1"/>
    <col min="6" max="6" width="10.42578125" bestFit="1" customWidth="1"/>
    <col min="7" max="7" width="14.42578125" customWidth="1"/>
    <col min="8" max="8" width="11.5703125" bestFit="1" customWidth="1"/>
    <col min="9" max="9" width="12.85546875" bestFit="1" customWidth="1"/>
    <col min="10" max="10" width="11.5703125" bestFit="1" customWidth="1"/>
    <col min="11" max="11" width="18.140625" bestFit="1" customWidth="1"/>
    <col min="12" max="12" width="13.5703125" bestFit="1" customWidth="1"/>
    <col min="13" max="13" width="14.5703125" bestFit="1" customWidth="1"/>
  </cols>
  <sheetData>
    <row r="1" spans="2:13" ht="16.5">
      <c r="B1" s="179" t="s">
        <v>235</v>
      </c>
      <c r="C1" s="135"/>
      <c r="D1" s="135"/>
      <c r="E1" s="135"/>
      <c r="F1" s="135"/>
      <c r="G1" s="135"/>
      <c r="H1" s="135"/>
      <c r="I1" s="135"/>
      <c r="J1" s="135"/>
      <c r="K1" s="135"/>
      <c r="L1" s="135"/>
      <c r="M1" s="135"/>
    </row>
    <row r="2" spans="2:13" ht="16.5">
      <c r="B2" s="44"/>
      <c r="C2" s="44"/>
      <c r="D2" s="44"/>
      <c r="E2" s="44"/>
      <c r="F2" s="44"/>
      <c r="G2" s="44"/>
      <c r="H2" s="44"/>
      <c r="I2" s="44"/>
      <c r="J2" s="44"/>
      <c r="K2" s="44"/>
      <c r="L2" s="44"/>
      <c r="M2" s="44"/>
    </row>
    <row r="3" spans="2:13">
      <c r="B3" s="102" t="s">
        <v>236</v>
      </c>
      <c r="C3" s="102"/>
      <c r="D3" s="102"/>
      <c r="E3" s="102"/>
      <c r="F3" s="102"/>
      <c r="G3" s="102"/>
      <c r="H3" s="102"/>
      <c r="I3" s="102"/>
      <c r="J3" s="102"/>
      <c r="K3" s="102"/>
      <c r="L3" s="102"/>
      <c r="M3" s="102"/>
    </row>
    <row r="4" spans="2:13" ht="16.5">
      <c r="B4" s="104"/>
      <c r="C4" s="104"/>
      <c r="D4" s="104"/>
      <c r="E4" s="104"/>
      <c r="F4" s="104"/>
      <c r="G4" s="104"/>
      <c r="H4" s="104"/>
      <c r="I4" s="104"/>
      <c r="J4" s="104"/>
      <c r="K4" s="104"/>
      <c r="L4" s="44"/>
      <c r="M4" s="44"/>
    </row>
    <row r="5" spans="2:13" ht="16.5">
      <c r="B5" s="44"/>
      <c r="C5" s="44"/>
      <c r="D5" s="137" t="s">
        <v>237</v>
      </c>
      <c r="E5" s="137" t="s">
        <v>238</v>
      </c>
      <c r="F5" s="137" t="s">
        <v>239</v>
      </c>
      <c r="G5" s="137" t="s">
        <v>279</v>
      </c>
      <c r="H5" s="137" t="s">
        <v>280</v>
      </c>
      <c r="I5" s="137" t="s">
        <v>240</v>
      </c>
      <c r="J5" s="137" t="s">
        <v>241</v>
      </c>
      <c r="K5" s="137" t="s">
        <v>242</v>
      </c>
      <c r="L5" s="137" t="s">
        <v>243</v>
      </c>
      <c r="M5" s="137" t="s">
        <v>244</v>
      </c>
    </row>
    <row r="6" spans="2:13" ht="16.5">
      <c r="B6" s="44" t="s">
        <v>245</v>
      </c>
      <c r="C6" s="44"/>
      <c r="D6" s="129">
        <f>'Operating Model'!M31</f>
        <v>182574</v>
      </c>
      <c r="E6" s="129">
        <f>'Operating Model'!S31</f>
        <v>229456</v>
      </c>
      <c r="F6" s="129">
        <f>'Operating Model'!Y31</f>
        <v>251336</v>
      </c>
      <c r="G6" s="129">
        <f>'Operating Model'!AE31</f>
        <v>347887</v>
      </c>
      <c r="H6" s="129">
        <f>'Operating Model'!AK31</f>
        <v>634747</v>
      </c>
      <c r="I6" s="129">
        <f>'Operating Model'!AQ31</f>
        <v>605156.60028494825</v>
      </c>
      <c r="J6" s="129">
        <f>'Operating Model'!AW31</f>
        <v>655912.4189184336</v>
      </c>
      <c r="K6" s="129">
        <f>'Operating Model'!BC31</f>
        <v>684123.29696502129</v>
      </c>
      <c r="L6" s="129">
        <f>'Operating Model'!BI31</f>
        <v>816460.07927420421</v>
      </c>
      <c r="M6" s="129">
        <f>'Operating Model'!BO31</f>
        <v>828831.08928773145</v>
      </c>
    </row>
    <row r="7" spans="2:13" ht="16.5">
      <c r="B7" s="44" t="s">
        <v>246</v>
      </c>
      <c r="C7" s="44"/>
      <c r="D7" s="138">
        <f>'Operating Model'!S57</f>
        <v>0.34065934065934067</v>
      </c>
      <c r="E7" s="138">
        <f>'Operating Model'!S57</f>
        <v>0.34065934065934067</v>
      </c>
      <c r="F7" s="139">
        <f>'Operating Model'!Y57</f>
        <v>0.22751647092523633</v>
      </c>
      <c r="G7" s="139">
        <f>'Operating Model'!AE57</f>
        <v>0.24643790667927257</v>
      </c>
      <c r="H7" s="139">
        <f>'Operating Model'!AK57</f>
        <v>0.23467373484659795</v>
      </c>
      <c r="I7" s="139">
        <f>'Operating Model'!AQ57</f>
        <v>0.23406462700538352</v>
      </c>
      <c r="J7" s="139">
        <f>I7</f>
        <v>0.23406462700538352</v>
      </c>
      <c r="K7" s="139">
        <f t="shared" ref="K7:M7" si="0">J7</f>
        <v>0.23406462700538352</v>
      </c>
      <c r="L7" s="139">
        <f t="shared" si="0"/>
        <v>0.23406462700538352</v>
      </c>
      <c r="M7" s="139">
        <f t="shared" si="0"/>
        <v>0.23406462700538352</v>
      </c>
    </row>
    <row r="8" spans="2:13" ht="16.5">
      <c r="B8" s="140" t="s">
        <v>247</v>
      </c>
      <c r="C8" s="106"/>
      <c r="D8" s="141">
        <f>D6*(1-D7)</f>
        <v>120378.46153846153</v>
      </c>
      <c r="E8" s="141">
        <f t="shared" ref="E8:M8" si="1">E6*(1-E7)</f>
        <v>151289.67032967033</v>
      </c>
      <c r="F8" s="141">
        <f t="shared" si="1"/>
        <v>194152.92026353482</v>
      </c>
      <c r="G8" s="141">
        <f t="shared" si="1"/>
        <v>262154.45595906791</v>
      </c>
      <c r="H8" s="141">
        <f>H6*(1-H7)</f>
        <v>485788.55082732649</v>
      </c>
      <c r="I8" s="141">
        <f t="shared" si="1"/>
        <v>463510.84635940584</v>
      </c>
      <c r="J8" s="141">
        <f t="shared" si="1"/>
        <v>502386.52323609154</v>
      </c>
      <c r="K8" s="141">
        <f t="shared" si="1"/>
        <v>523994.23263521033</v>
      </c>
      <c r="L8" s="141">
        <f t="shared" si="1"/>
        <v>625355.65535410168</v>
      </c>
      <c r="M8" s="141">
        <f t="shared" si="1"/>
        <v>634831.04952313285</v>
      </c>
    </row>
    <row r="9" spans="2:13" ht="16.5">
      <c r="B9" s="44" t="s">
        <v>248</v>
      </c>
      <c r="C9" s="44"/>
      <c r="D9" s="129">
        <f>'Operating Model'!M30</f>
        <v>298625</v>
      </c>
      <c r="E9" s="129">
        <f>'Operating Model'!S30</f>
        <v>300725</v>
      </c>
      <c r="F9" s="129">
        <f>'Operating Model'!Y30</f>
        <v>292915</v>
      </c>
      <c r="G9" s="129">
        <f>'Operating Model'!AE30</f>
        <v>298135</v>
      </c>
      <c r="H9" s="129">
        <f>'Operating Model'!AK30</f>
        <v>347594</v>
      </c>
      <c r="I9" s="129">
        <f>'Operating Model'!AQ30</f>
        <v>376393.82182474388</v>
      </c>
      <c r="J9" s="129">
        <f>'Operating Model'!AW30</f>
        <v>469097.56355274818</v>
      </c>
      <c r="K9" s="129">
        <f>'Operating Model'!BC30</f>
        <v>541497.29219604901</v>
      </c>
      <c r="L9" s="129">
        <f>'Operating Model'!BI30</f>
        <v>622872.27533003234</v>
      </c>
      <c r="M9" s="129">
        <f>'Operating Model'!BO30</f>
        <v>775957.02123471245</v>
      </c>
    </row>
    <row r="10" spans="2:13" ht="16.5">
      <c r="B10" s="44" t="s">
        <v>249</v>
      </c>
      <c r="C10" s="44"/>
      <c r="D10" s="129"/>
      <c r="E10" s="129">
        <f>'Operating Model'!S140</f>
        <v>37279</v>
      </c>
      <c r="F10" s="129">
        <f>'Operating Model'!Y140</f>
        <v>93156</v>
      </c>
      <c r="G10" s="129">
        <f>'Operating Model'!AE140</f>
        <v>48838</v>
      </c>
      <c r="H10" s="129">
        <f>'Operating Model'!AK140</f>
        <v>173443</v>
      </c>
      <c r="I10" s="129">
        <f>'Operating Model'!AQ140</f>
        <v>66328.00157492212</v>
      </c>
      <c r="J10" s="129">
        <f>'Operating Model'!AW140</f>
        <v>127484.98622302944</v>
      </c>
      <c r="K10" s="129">
        <f>'Operating Model'!BC140</f>
        <v>160320.99961804948</v>
      </c>
      <c r="L10" s="142">
        <f>'Operating Model'!BI140</f>
        <v>222958.87570316484</v>
      </c>
      <c r="M10" s="142">
        <f>'Operating Model'!BO140</f>
        <v>136464.5791957709</v>
      </c>
    </row>
    <row r="11" spans="2:13" ht="16.5">
      <c r="B11" s="44" t="s">
        <v>250</v>
      </c>
      <c r="C11" s="44"/>
      <c r="D11" s="143">
        <f>'Operating Model'!M127</f>
        <v>-193344</v>
      </c>
      <c r="E11" s="143">
        <f>'Operating Model'!S127</f>
        <v>-216324</v>
      </c>
      <c r="F11" s="143">
        <f>'Operating Model'!Y127</f>
        <v>-196256</v>
      </c>
      <c r="G11" s="143">
        <f>'Operating Model'!AE127</f>
        <v>-241856</v>
      </c>
      <c r="H11" s="143">
        <f>'Operating Model'!AK127</f>
        <v>-201087</v>
      </c>
      <c r="I11" s="143">
        <f>'Operating Model'!AQ127</f>
        <v>-281005.53800000006</v>
      </c>
      <c r="J11" s="143">
        <f>'Operating Model'!AW127</f>
        <v>-312731.70903516555</v>
      </c>
      <c r="K11" s="143">
        <f>'Operating Model'!BC127</f>
        <v>-351543.3591477013</v>
      </c>
      <c r="L11" s="143">
        <f>'Operating Model'!BI127</f>
        <v>-407338.69020676165</v>
      </c>
      <c r="M11" s="143">
        <f>'Operating Model'!BO127</f>
        <v>-478133.99650566507</v>
      </c>
    </row>
    <row r="12" spans="2:13" ht="16.5">
      <c r="B12" s="140" t="s">
        <v>251</v>
      </c>
      <c r="C12" s="106"/>
      <c r="D12" s="141">
        <f>D8+D9-D10+D11</f>
        <v>225659.4615384615</v>
      </c>
      <c r="E12" s="141">
        <f t="shared" ref="E12:M12" si="2">E8+E9-E10+E11</f>
        <v>198411.67032967031</v>
      </c>
      <c r="F12" s="141">
        <f t="shared" si="2"/>
        <v>197655.92026353482</v>
      </c>
      <c r="G12" s="141">
        <f t="shared" si="2"/>
        <v>269595.45595906791</v>
      </c>
      <c r="H12" s="141">
        <f t="shared" si="2"/>
        <v>458852.55082732649</v>
      </c>
      <c r="I12" s="141">
        <f t="shared" si="2"/>
        <v>492571.1286092276</v>
      </c>
      <c r="J12" s="141">
        <f t="shared" si="2"/>
        <v>531267.39153064461</v>
      </c>
      <c r="K12" s="141">
        <f t="shared" si="2"/>
        <v>553627.16606550862</v>
      </c>
      <c r="L12" s="141">
        <f t="shared" si="2"/>
        <v>617930.36477420735</v>
      </c>
      <c r="M12" s="141">
        <f t="shared" si="2"/>
        <v>796189.49505640939</v>
      </c>
    </row>
    <row r="13" spans="2:13" ht="16.5">
      <c r="B13" s="104"/>
      <c r="C13" s="44"/>
      <c r="D13" s="144"/>
      <c r="E13" s="144"/>
      <c r="F13" s="144"/>
      <c r="G13" s="144"/>
      <c r="H13" s="144"/>
      <c r="I13" s="144"/>
      <c r="J13" s="144"/>
      <c r="K13" s="144"/>
      <c r="L13" s="144"/>
      <c r="M13" s="144"/>
    </row>
    <row r="14" spans="2:13" ht="16.5">
      <c r="B14" s="44" t="s">
        <v>252</v>
      </c>
      <c r="C14" s="44"/>
      <c r="D14" s="144"/>
      <c r="E14" s="144"/>
      <c r="F14" s="144"/>
      <c r="G14" s="145"/>
      <c r="H14" s="145"/>
      <c r="I14" s="145">
        <v>1</v>
      </c>
      <c r="J14" s="145">
        <f t="shared" ref="J14:M14" si="3">I14+1</f>
        <v>2</v>
      </c>
      <c r="K14" s="145">
        <f t="shared" si="3"/>
        <v>3</v>
      </c>
      <c r="L14" s="145">
        <f t="shared" si="3"/>
        <v>4</v>
      </c>
      <c r="M14" s="145">
        <f t="shared" si="3"/>
        <v>5</v>
      </c>
    </row>
    <row r="15" spans="2:13" ht="16.5">
      <c r="B15" s="106" t="s">
        <v>253</v>
      </c>
      <c r="C15" s="106"/>
      <c r="D15" s="141"/>
      <c r="E15" s="141"/>
      <c r="F15" s="141"/>
      <c r="G15" s="146"/>
      <c r="H15" s="146"/>
      <c r="I15" s="146">
        <f>I12/(1+$M$19)^I14</f>
        <v>455827.61740854039</v>
      </c>
      <c r="J15" s="146">
        <f t="shared" ref="J15:M15" si="4">J12/(1+$M$19)^J14</f>
        <v>454963.46602488158</v>
      </c>
      <c r="K15" s="146">
        <f t="shared" si="4"/>
        <v>438745.26013547712</v>
      </c>
      <c r="L15" s="146">
        <f t="shared" si="4"/>
        <v>453175.33423961099</v>
      </c>
      <c r="M15" s="146">
        <f t="shared" si="4"/>
        <v>540349.62192617427</v>
      </c>
    </row>
    <row r="16" spans="2:13" ht="16.5">
      <c r="B16" s="44"/>
      <c r="C16" s="44"/>
      <c r="D16" s="44"/>
      <c r="E16" s="44"/>
      <c r="F16" s="44"/>
      <c r="G16" s="44"/>
      <c r="H16" s="44"/>
      <c r="I16" s="44"/>
      <c r="J16" s="44"/>
      <c r="K16" s="44"/>
      <c r="L16" s="44"/>
      <c r="M16" s="44"/>
    </row>
    <row r="17" spans="2:13">
      <c r="B17" s="102" t="s">
        <v>184</v>
      </c>
      <c r="C17" s="102"/>
      <c r="D17" s="102"/>
      <c r="E17" s="102"/>
      <c r="F17" s="102"/>
      <c r="G17" s="102"/>
      <c r="H17" s="102"/>
      <c r="I17" s="102"/>
      <c r="J17" s="102"/>
      <c r="K17" s="102"/>
      <c r="L17" s="102"/>
      <c r="M17" s="102"/>
    </row>
    <row r="18" spans="2:13" ht="16.5">
      <c r="B18" s="44"/>
      <c r="C18" s="44"/>
      <c r="D18" s="44"/>
      <c r="E18" s="44"/>
      <c r="F18" s="44"/>
      <c r="G18" s="44"/>
      <c r="H18" s="44"/>
      <c r="I18" s="44"/>
      <c r="J18" s="44"/>
      <c r="K18" s="44"/>
      <c r="L18" s="44"/>
      <c r="M18" s="44"/>
    </row>
    <row r="19" spans="2:13" ht="16.5">
      <c r="B19" s="163" t="s">
        <v>254</v>
      </c>
      <c r="C19" s="164"/>
      <c r="D19" s="164"/>
      <c r="E19" s="64"/>
      <c r="F19" s="64"/>
      <c r="G19" s="163" t="s">
        <v>255</v>
      </c>
      <c r="H19" s="164"/>
      <c r="I19" s="164"/>
      <c r="J19" s="64"/>
      <c r="K19" s="163" t="s">
        <v>256</v>
      </c>
      <c r="L19" s="164"/>
      <c r="M19" s="178">
        <f>((I21*(1-I22)*I20))+(I23*I24)</f>
        <v>8.0608347975009695E-2</v>
      </c>
    </row>
    <row r="20" spans="2:13" ht="16.5">
      <c r="B20" s="64" t="s">
        <v>257</v>
      </c>
      <c r="C20" s="64"/>
      <c r="D20" s="165">
        <v>0.02</v>
      </c>
      <c r="E20" s="64"/>
      <c r="F20" s="64"/>
      <c r="G20" s="64" t="s">
        <v>258</v>
      </c>
      <c r="H20" s="64"/>
      <c r="I20" s="166">
        <f>1-I23</f>
        <v>0.19949203390048731</v>
      </c>
      <c r="J20" s="64"/>
      <c r="K20" s="64"/>
      <c r="L20" s="64"/>
      <c r="M20" s="64"/>
    </row>
    <row r="21" spans="2:13" ht="16.5">
      <c r="B21" s="64" t="s">
        <v>259</v>
      </c>
      <c r="C21" s="64"/>
      <c r="D21" s="64">
        <f>((M12*(1+D20))/(M19-D20))</f>
        <v>13399363.488547679</v>
      </c>
      <c r="E21" s="64"/>
      <c r="F21" s="64"/>
      <c r="G21" s="64" t="s">
        <v>260</v>
      </c>
      <c r="H21" s="64"/>
      <c r="I21" s="167">
        <f>'Operating Model'!AK35/'DCF Valuation'!M22*-1</f>
        <v>4.4400262616564969E-2</v>
      </c>
      <c r="J21" s="64"/>
      <c r="K21" s="64" t="s">
        <v>261</v>
      </c>
      <c r="L21" s="64"/>
      <c r="M21" s="168">
        <f>'Operating Model'!AK62</f>
        <v>492603</v>
      </c>
    </row>
    <row r="22" spans="2:13" ht="16.5">
      <c r="B22" s="64" t="s">
        <v>262</v>
      </c>
      <c r="C22" s="64"/>
      <c r="D22" s="627">
        <f>D21/(1+M19)^M14</f>
        <v>9093740.9247972425</v>
      </c>
      <c r="E22" s="64"/>
      <c r="F22" s="64"/>
      <c r="G22" s="64" t="s">
        <v>263</v>
      </c>
      <c r="H22" s="64"/>
      <c r="I22" s="165">
        <f>H7</f>
        <v>0.23467373484659795</v>
      </c>
      <c r="J22" s="64"/>
      <c r="K22" s="64" t="s">
        <v>264</v>
      </c>
      <c r="L22" s="64"/>
      <c r="M22" s="168">
        <f>'Operating Model'!AK89+'Operating Model'!AK79</f>
        <v>2424828</v>
      </c>
    </row>
    <row r="23" spans="2:13" ht="16.5">
      <c r="B23" s="64" t="s">
        <v>265</v>
      </c>
      <c r="C23" s="64"/>
      <c r="D23" s="168">
        <f>SUM(I15:M15)</f>
        <v>2343061.2997346846</v>
      </c>
      <c r="E23" s="64"/>
      <c r="F23" s="64"/>
      <c r="G23" s="64" t="s">
        <v>266</v>
      </c>
      <c r="H23" s="64"/>
      <c r="I23" s="166">
        <f>M27/M29</f>
        <v>0.80050796609951269</v>
      </c>
      <c r="J23" s="64"/>
      <c r="K23" s="163" t="s">
        <v>267</v>
      </c>
      <c r="L23" s="164"/>
      <c r="M23" s="170">
        <f>M22-M21</f>
        <v>1932225</v>
      </c>
    </row>
    <row r="24" spans="2:13" ht="16.5">
      <c r="B24" s="171" t="s">
        <v>218</v>
      </c>
      <c r="C24" s="171"/>
      <c r="D24" s="172">
        <f>D22+D23</f>
        <v>11436802.224531926</v>
      </c>
      <c r="E24" s="64"/>
      <c r="F24" s="64"/>
      <c r="G24" s="64" t="s">
        <v>268</v>
      </c>
      <c r="H24" s="64"/>
      <c r="I24" s="166">
        <f>I26+(I25*I27)</f>
        <v>9.2228278426543644E-2</v>
      </c>
      <c r="J24" s="64"/>
      <c r="K24" s="64"/>
      <c r="L24" s="64"/>
      <c r="M24" s="64"/>
    </row>
    <row r="25" spans="2:13" ht="16.5">
      <c r="B25" s="177" t="s">
        <v>269</v>
      </c>
      <c r="C25" s="64"/>
      <c r="D25" s="168">
        <f>-M23</f>
        <v>-1932225</v>
      </c>
      <c r="E25" s="64"/>
      <c r="F25" s="64"/>
      <c r="G25" s="64" t="s">
        <v>270</v>
      </c>
      <c r="H25" s="64"/>
      <c r="I25" s="174">
        <f>Beta!K3</f>
        <v>1.1781281311539518</v>
      </c>
      <c r="J25" s="64"/>
      <c r="K25" s="64" t="s">
        <v>192</v>
      </c>
      <c r="L25" s="64"/>
      <c r="M25" s="169">
        <f>Tear!H12</f>
        <v>142.30000000000001</v>
      </c>
    </row>
    <row r="26" spans="2:13" ht="16.5">
      <c r="B26" s="163" t="s">
        <v>271</v>
      </c>
      <c r="C26" s="163"/>
      <c r="D26" s="175">
        <f>D24+D25</f>
        <v>9504577.2245319262</v>
      </c>
      <c r="E26" s="64"/>
      <c r="F26" s="64"/>
      <c r="G26" s="64" t="s">
        <v>272</v>
      </c>
      <c r="H26" s="64"/>
      <c r="I26" s="176">
        <v>3.4500000000000003E-2</v>
      </c>
      <c r="J26" s="64"/>
      <c r="K26" s="64" t="s">
        <v>210</v>
      </c>
      <c r="L26" s="64"/>
      <c r="M26" s="168">
        <f>'Operating Model'!AK44</f>
        <v>54487</v>
      </c>
    </row>
    <row r="27" spans="2:13" ht="16.5">
      <c r="B27" s="173" t="s">
        <v>210</v>
      </c>
      <c r="C27" s="64"/>
      <c r="D27" s="168">
        <f>M26</f>
        <v>54487</v>
      </c>
      <c r="E27" s="64"/>
      <c r="F27" s="64"/>
      <c r="G27" s="64" t="s">
        <v>273</v>
      </c>
      <c r="H27" s="64"/>
      <c r="I27" s="176">
        <v>4.9000000000000002E-2</v>
      </c>
      <c r="J27" s="64"/>
      <c r="K27" s="171" t="s">
        <v>274</v>
      </c>
      <c r="L27" s="64"/>
      <c r="M27" s="172">
        <f>M25*M26</f>
        <v>7753500.1000000006</v>
      </c>
    </row>
    <row r="28" spans="2:13" ht="16.5">
      <c r="B28" s="198" t="s">
        <v>275</v>
      </c>
      <c r="C28" s="199"/>
      <c r="D28" s="200">
        <f>D26/D27</f>
        <v>174.43752132677383</v>
      </c>
      <c r="E28" s="64"/>
      <c r="F28" s="64"/>
      <c r="G28" s="64"/>
      <c r="H28" s="64"/>
      <c r="I28" s="64"/>
      <c r="J28" s="64"/>
      <c r="K28" s="64" t="s">
        <v>276</v>
      </c>
      <c r="L28" s="64"/>
      <c r="M28" s="168">
        <f>M23</f>
        <v>1932225</v>
      </c>
    </row>
    <row r="29" spans="2:13" ht="16.5">
      <c r="B29" s="201" t="s">
        <v>155</v>
      </c>
      <c r="C29" s="198"/>
      <c r="D29" s="202">
        <f>D28/M25-1</f>
        <v>0.22584343869834034</v>
      </c>
      <c r="E29" s="64"/>
      <c r="F29" s="64"/>
      <c r="G29" s="64"/>
      <c r="H29" s="64"/>
      <c r="I29" s="64"/>
      <c r="J29" s="64"/>
      <c r="K29" s="163" t="s">
        <v>153</v>
      </c>
      <c r="L29" s="164"/>
      <c r="M29" s="175">
        <f>M27+M28</f>
        <v>9685725.1000000015</v>
      </c>
    </row>
    <row r="30" spans="2:13" ht="16.5">
      <c r="B30" s="44"/>
      <c r="C30" s="44"/>
      <c r="D30" s="44"/>
      <c r="E30" s="44"/>
      <c r="F30" s="44"/>
      <c r="G30" s="44"/>
      <c r="H30" s="44"/>
      <c r="I30" s="44"/>
      <c r="J30" s="44"/>
      <c r="K30" s="44"/>
      <c r="L30" s="44"/>
      <c r="M30" s="44"/>
    </row>
    <row r="31" spans="2:13" ht="16.5">
      <c r="B31" s="102" t="s">
        <v>277</v>
      </c>
      <c r="C31" s="103"/>
      <c r="D31" s="103"/>
      <c r="E31" s="103"/>
      <c r="F31" s="103"/>
      <c r="G31" s="103"/>
      <c r="H31" s="103"/>
      <c r="I31" s="103"/>
      <c r="J31" s="44"/>
      <c r="K31" s="44"/>
      <c r="L31" s="44"/>
      <c r="M31" s="44"/>
    </row>
    <row r="32" spans="2:13" ht="16.5">
      <c r="B32" s="44"/>
      <c r="C32" s="44"/>
      <c r="D32" s="44"/>
      <c r="E32" s="44"/>
      <c r="F32" s="44"/>
      <c r="G32" s="44"/>
      <c r="H32" s="44"/>
      <c r="I32" s="44"/>
      <c r="J32" s="44"/>
      <c r="K32" s="44"/>
      <c r="L32" s="44"/>
      <c r="M32" s="44"/>
    </row>
    <row r="33" spans="2:13" ht="17.25" thickBot="1">
      <c r="B33" s="44"/>
      <c r="C33" s="44"/>
      <c r="D33" s="44"/>
      <c r="E33" s="44"/>
      <c r="F33" s="44" t="s">
        <v>256</v>
      </c>
      <c r="G33" s="44"/>
      <c r="H33" s="44"/>
      <c r="I33" s="44"/>
      <c r="J33" s="44"/>
      <c r="K33" s="44"/>
      <c r="L33" s="44"/>
      <c r="M33" s="44"/>
    </row>
    <row r="34" spans="2:13" ht="17.25" thickBot="1">
      <c r="B34" s="44"/>
      <c r="C34" s="147">
        <f>D28</f>
        <v>174.43752132677383</v>
      </c>
      <c r="D34" s="148">
        <f>E34-0.0025</f>
        <v>7.5600000000000001E-2</v>
      </c>
      <c r="E34" s="149">
        <f>F34-0.0025</f>
        <v>7.8100000000000003E-2</v>
      </c>
      <c r="F34" s="149">
        <v>8.0600000000000005E-2</v>
      </c>
      <c r="G34" s="149">
        <f>F34+0.0025</f>
        <v>8.3100000000000007E-2</v>
      </c>
      <c r="H34" s="150">
        <f>G34+0.0025</f>
        <v>8.5600000000000009E-2</v>
      </c>
      <c r="I34" s="44"/>
      <c r="J34" s="44"/>
      <c r="K34" s="44"/>
      <c r="L34" s="44"/>
      <c r="M34" s="44"/>
    </row>
    <row r="35" spans="2:13" ht="17.25" thickBot="1">
      <c r="B35" s="44"/>
      <c r="C35" s="151">
        <f>C36-0.0025</f>
        <v>1.5000000000000001E-2</v>
      </c>
      <c r="D35" s="152">
        <f t="dataTable" ref="D35:H39" dt2D="1" dtr="1" r1="M19" r2="D20"/>
        <v>178.16453078884052</v>
      </c>
      <c r="E35" s="153">
        <v>169.23403863680338</v>
      </c>
      <c r="F35" s="153">
        <v>160.98899397130339</v>
      </c>
      <c r="G35" s="153">
        <v>153.3538464185888</v>
      </c>
      <c r="H35" s="154">
        <v>146.2637477015486</v>
      </c>
      <c r="I35" s="44"/>
      <c r="J35" s="44"/>
      <c r="K35" s="44"/>
      <c r="L35" s="44"/>
      <c r="M35" s="44"/>
    </row>
    <row r="36" spans="2:13" ht="17.25" thickBot="1">
      <c r="B36" s="755" t="s">
        <v>278</v>
      </c>
      <c r="C36" s="155">
        <f>C37-0.0025</f>
        <v>1.7500000000000002E-2</v>
      </c>
      <c r="D36" s="156">
        <v>185.91649259643924</v>
      </c>
      <c r="E36" s="152">
        <v>176.30576402343274</v>
      </c>
      <c r="F36" s="153">
        <v>167.46147079026301</v>
      </c>
      <c r="G36" s="154">
        <v>159.29592485823196</v>
      </c>
      <c r="H36" s="157">
        <v>151.73431548494244</v>
      </c>
      <c r="I36" s="44"/>
      <c r="J36" s="44"/>
      <c r="K36" s="44"/>
      <c r="L36" s="44"/>
      <c r="M36" s="44"/>
    </row>
    <row r="37" spans="2:13" ht="17.25" thickBot="1">
      <c r="B37" s="755"/>
      <c r="C37" s="155">
        <v>0.02</v>
      </c>
      <c r="D37" s="156">
        <v>194.36557327162762</v>
      </c>
      <c r="E37" s="156">
        <v>183.98607162922113</v>
      </c>
      <c r="F37" s="158">
        <v>174.46798035006077</v>
      </c>
      <c r="G37" s="157">
        <v>165.70884944998622</v>
      </c>
      <c r="H37" s="157">
        <v>157.62184727621687</v>
      </c>
      <c r="I37" s="44"/>
      <c r="J37" s="44"/>
      <c r="K37" s="44"/>
      <c r="L37" s="44"/>
      <c r="M37" s="44"/>
    </row>
    <row r="38" spans="2:13" ht="17.25" thickBot="1">
      <c r="B38" s="755"/>
      <c r="C38" s="155">
        <f>C37+0.0025</f>
        <v>2.2499999999999999E-2</v>
      </c>
      <c r="D38" s="156">
        <v>203.61023593129713</v>
      </c>
      <c r="E38" s="159">
        <v>192.35705437941493</v>
      </c>
      <c r="F38" s="160">
        <v>182.07745975149351</v>
      </c>
      <c r="G38" s="161">
        <v>172.65089323247932</v>
      </c>
      <c r="H38" s="157">
        <v>163.9759029812214</v>
      </c>
      <c r="I38" s="44"/>
      <c r="J38" s="44"/>
      <c r="K38" s="44"/>
      <c r="L38" s="44"/>
      <c r="M38" s="44"/>
    </row>
    <row r="39" spans="2:13" ht="17.25" thickBot="1">
      <c r="B39" s="44"/>
      <c r="C39" s="162">
        <f>C38+0.0025</f>
        <v>2.4999999999999998E-2</v>
      </c>
      <c r="D39" s="159">
        <v>213.76840280634897</v>
      </c>
      <c r="E39" s="160">
        <v>201.51626526051214</v>
      </c>
      <c r="F39" s="160">
        <v>190.37124485449385</v>
      </c>
      <c r="G39" s="160">
        <v>180.19035902723513</v>
      </c>
      <c r="H39" s="161">
        <v>170.85422070809108</v>
      </c>
      <c r="I39" s="44"/>
      <c r="J39" s="44"/>
      <c r="K39" s="44"/>
      <c r="L39" s="44"/>
      <c r="M39" s="44"/>
    </row>
  </sheetData>
  <mergeCells count="1">
    <mergeCell ref="B36:B38"/>
  </mergeCells>
  <conditionalFormatting sqref="D35:H39">
    <cfRule type="colorScale" priority="1">
      <colorScale>
        <cfvo type="min"/>
        <cfvo type="percentile" val="50"/>
        <cfvo type="max"/>
        <color rgb="FFF8696B"/>
        <color rgb="FFFCFCFF"/>
        <color rgb="FF63BE7B"/>
      </colorScale>
    </cfRule>
    <cfRule type="cellIs" dxfId="11" priority="2" operator="greaterThan">
      <formula>#REF!</formula>
    </cfRule>
    <cfRule type="cellIs" dxfId="10" priority="3" operator="lessThan">
      <formula>#REF!</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67D72-9439-4AB4-8AF6-294003C93B8E}">
  <dimension ref="A1:Y58"/>
  <sheetViews>
    <sheetView showGridLines="0" zoomScaleNormal="100" workbookViewId="0"/>
  </sheetViews>
  <sheetFormatPr defaultRowHeight="15"/>
  <cols>
    <col min="1" max="1" width="1.7109375" style="34" customWidth="1"/>
    <col min="2" max="2" width="33.42578125" style="34" bestFit="1" customWidth="1"/>
    <col min="3" max="3" width="2.140625" style="34" bestFit="1" customWidth="1"/>
    <col min="4" max="4" width="19" style="34" bestFit="1" customWidth="1"/>
    <col min="5" max="5" width="1.7109375" style="34" customWidth="1"/>
    <col min="6" max="7" width="20.7109375" style="34" bestFit="1" customWidth="1"/>
    <col min="8" max="10" width="22.85546875" style="34" customWidth="1"/>
    <col min="11" max="11" width="1.7109375" style="34" customWidth="1"/>
    <col min="12" max="12" width="13.28515625" style="34" bestFit="1" customWidth="1"/>
    <col min="13" max="13" width="16" style="34" customWidth="1"/>
    <col min="14" max="14" width="8.42578125" style="34" bestFit="1" customWidth="1"/>
    <col min="15" max="15" width="14.28515625" style="34" bestFit="1" customWidth="1"/>
    <col min="16" max="16" width="13.140625" style="34" bestFit="1" customWidth="1"/>
    <col min="17" max="17" width="7.7109375" style="34" bestFit="1" customWidth="1"/>
    <col min="18" max="16384" width="9.140625" style="34"/>
  </cols>
  <sheetData>
    <row r="1" spans="1:25" ht="16.5">
      <c r="A1" s="44"/>
      <c r="B1" s="44"/>
      <c r="C1" s="44"/>
      <c r="D1" s="44"/>
      <c r="E1" s="44"/>
      <c r="F1" s="44"/>
      <c r="G1" s="44"/>
      <c r="H1" s="44"/>
      <c r="I1" s="44"/>
      <c r="J1" s="44"/>
      <c r="K1" s="44"/>
      <c r="L1" s="44"/>
      <c r="M1" s="44"/>
      <c r="N1" s="44"/>
      <c r="O1" s="44"/>
    </row>
    <row r="2" spans="1:25" ht="17.25" thickBot="1">
      <c r="A2" s="72"/>
      <c r="B2" s="218" t="s">
        <v>181</v>
      </c>
      <c r="C2" s="219"/>
      <c r="D2" s="219"/>
      <c r="E2" s="219"/>
      <c r="F2" s="219"/>
      <c r="G2" s="219"/>
      <c r="H2" s="219"/>
      <c r="I2" s="219"/>
      <c r="J2" s="219"/>
      <c r="K2" s="219"/>
      <c r="L2" s="219"/>
      <c r="M2" s="219"/>
      <c r="N2" s="219"/>
      <c r="O2" s="220"/>
    </row>
    <row r="3" spans="1:25" ht="4.5" customHeight="1" thickBot="1">
      <c r="A3" s="72"/>
      <c r="B3" s="224"/>
      <c r="C3" s="225"/>
      <c r="D3" s="225"/>
      <c r="E3" s="225"/>
      <c r="F3" s="225"/>
      <c r="G3" s="225"/>
      <c r="H3" s="101"/>
      <c r="I3" s="225"/>
      <c r="J3" s="225"/>
      <c r="K3" s="101"/>
      <c r="L3" s="225"/>
      <c r="M3" s="225"/>
      <c r="N3" s="225"/>
      <c r="O3" s="226"/>
    </row>
    <row r="4" spans="1:25" ht="17.25" thickBot="1">
      <c r="A4" s="72"/>
      <c r="B4" s="213"/>
      <c r="C4" s="228"/>
      <c r="D4" s="227" t="s">
        <v>182</v>
      </c>
      <c r="E4" s="229"/>
      <c r="F4" s="492" t="s">
        <v>183</v>
      </c>
      <c r="G4" s="493"/>
      <c r="H4" s="291"/>
      <c r="I4" s="291"/>
      <c r="J4" s="291"/>
      <c r="K4" s="290"/>
      <c r="L4" s="289"/>
      <c r="M4" s="221" t="s">
        <v>184</v>
      </c>
      <c r="N4" s="222"/>
      <c r="O4" s="223"/>
    </row>
    <row r="5" spans="1:25" ht="8.25" customHeight="1" thickBot="1">
      <c r="A5" s="72"/>
      <c r="B5" s="214"/>
      <c r="C5" s="69"/>
      <c r="D5" s="77"/>
      <c r="E5" s="69"/>
      <c r="F5" s="69"/>
      <c r="G5" s="69"/>
      <c r="H5" s="69"/>
      <c r="I5" s="69"/>
      <c r="J5" s="69"/>
      <c r="K5" s="69"/>
      <c r="L5" s="69"/>
      <c r="M5" s="69"/>
      <c r="N5" s="69"/>
      <c r="O5" s="77"/>
    </row>
    <row r="6" spans="1:25" ht="16.5">
      <c r="A6" s="72"/>
      <c r="B6" s="215"/>
      <c r="C6" s="70"/>
      <c r="D6" s="71"/>
      <c r="E6" s="44"/>
      <c r="F6" s="44"/>
      <c r="G6" s="44"/>
      <c r="H6" s="44"/>
      <c r="I6" s="44"/>
      <c r="J6" s="44"/>
      <c r="K6" s="70"/>
      <c r="L6" s="44"/>
      <c r="M6" s="44"/>
      <c r="N6" s="44"/>
      <c r="O6" s="72"/>
      <c r="U6"/>
    </row>
    <row r="7" spans="1:25" ht="16.5">
      <c r="A7" s="72"/>
      <c r="B7" s="215"/>
      <c r="C7" s="72"/>
      <c r="D7" s="73"/>
      <c r="E7" s="44"/>
      <c r="F7" s="44"/>
      <c r="G7" s="44"/>
      <c r="H7" s="44"/>
      <c r="I7" s="44"/>
      <c r="J7" s="44"/>
      <c r="K7" s="72"/>
      <c r="L7" s="44"/>
      <c r="M7" s="44"/>
      <c r="N7" s="44"/>
      <c r="O7" s="72"/>
      <c r="P7"/>
    </row>
    <row r="8" spans="1:25" ht="16.5">
      <c r="A8" s="72"/>
      <c r="B8" s="215"/>
      <c r="C8" s="72"/>
      <c r="D8" s="73"/>
      <c r="E8" s="74"/>
      <c r="F8" s="75"/>
      <c r="G8" s="76"/>
      <c r="K8" s="72"/>
      <c r="L8" s="44"/>
      <c r="M8" s="44"/>
      <c r="N8" s="44"/>
      <c r="O8" s="72"/>
    </row>
    <row r="9" spans="1:25" ht="16.5">
      <c r="A9" s="72"/>
      <c r="B9" s="215"/>
      <c r="C9" s="72"/>
      <c r="D9" s="73"/>
      <c r="E9" s="44"/>
      <c r="H9" s="44"/>
      <c r="I9" s="44"/>
      <c r="J9" s="44"/>
      <c r="K9" s="72"/>
      <c r="L9" s="44"/>
      <c r="M9" s="44"/>
      <c r="N9" s="44"/>
      <c r="O9" s="72"/>
    </row>
    <row r="10" spans="1:25" ht="17.25" thickBot="1">
      <c r="A10" s="72"/>
      <c r="B10" s="216" t="s">
        <v>185</v>
      </c>
      <c r="C10" s="77"/>
      <c r="D10" s="78"/>
      <c r="E10" s="69"/>
      <c r="F10" s="69"/>
      <c r="G10" s="69"/>
      <c r="H10" s="69"/>
      <c r="I10" s="69"/>
      <c r="J10" s="69"/>
      <c r="K10" s="77"/>
      <c r="L10" s="208"/>
      <c r="M10" s="69"/>
      <c r="N10" s="69"/>
      <c r="O10" s="77"/>
      <c r="Y10" s="44"/>
    </row>
    <row r="11" spans="1:25" ht="16.5">
      <c r="A11" s="72"/>
      <c r="B11" s="217"/>
      <c r="C11" s="72"/>
      <c r="D11" s="73"/>
      <c r="E11" s="44"/>
      <c r="F11" s="44"/>
      <c r="G11" s="44"/>
      <c r="I11" s="44"/>
      <c r="J11" s="44"/>
      <c r="K11" s="72"/>
      <c r="L11" s="44"/>
      <c r="M11" s="44"/>
      <c r="N11" s="44"/>
      <c r="O11" s="72"/>
    </row>
    <row r="12" spans="1:25" ht="17.25" thickBot="1">
      <c r="A12" s="72"/>
      <c r="B12" s="215" t="s">
        <v>186</v>
      </c>
      <c r="C12" s="72"/>
      <c r="D12" s="66" t="s">
        <v>39</v>
      </c>
      <c r="E12" s="67"/>
      <c r="F12" s="68" t="s">
        <v>231</v>
      </c>
      <c r="G12" s="68" t="s">
        <v>233</v>
      </c>
      <c r="H12" s="68" t="s">
        <v>418</v>
      </c>
      <c r="I12" s="68" t="s">
        <v>416</v>
      </c>
      <c r="J12" s="68" t="s">
        <v>355</v>
      </c>
      <c r="K12" s="72"/>
      <c r="L12" s="44"/>
      <c r="M12" s="79" t="s">
        <v>155</v>
      </c>
      <c r="N12" s="79" t="s">
        <v>140</v>
      </c>
      <c r="O12" s="210" t="s">
        <v>187</v>
      </c>
    </row>
    <row r="13" spans="1:25" ht="16.5">
      <c r="A13" s="72"/>
      <c r="B13" s="215" t="s">
        <v>188</v>
      </c>
      <c r="C13" s="72"/>
      <c r="D13" s="80" t="s">
        <v>173</v>
      </c>
      <c r="E13" s="81"/>
      <c r="F13" s="81" t="s">
        <v>232</v>
      </c>
      <c r="G13" s="81" t="s">
        <v>234</v>
      </c>
      <c r="H13" s="81" t="s">
        <v>419</v>
      </c>
      <c r="I13" s="81" t="s">
        <v>417</v>
      </c>
      <c r="J13" s="81" t="s">
        <v>356</v>
      </c>
      <c r="K13" s="72"/>
      <c r="L13" s="82" t="s">
        <v>154</v>
      </c>
      <c r="M13" s="773">
        <f>MAX(F20:I20)*$O$34</f>
        <v>217.70935170764523</v>
      </c>
      <c r="N13" s="773">
        <f>N20*$O$34</f>
        <v>152.20398816751853</v>
      </c>
      <c r="O13" s="773">
        <f>O20*$O$34</f>
        <v>68.559458137367187</v>
      </c>
      <c r="P13" s="723"/>
    </row>
    <row r="14" spans="1:25" ht="16.5">
      <c r="A14" s="72"/>
      <c r="B14" s="215" t="s">
        <v>189</v>
      </c>
      <c r="C14" s="72"/>
      <c r="D14" s="83">
        <f>IF(D15="Thousands",D44/1000000,IF(D15="Millions",D44/100))</f>
        <v>6.2180566034610001</v>
      </c>
      <c r="E14" s="84"/>
      <c r="F14" s="84">
        <f>IF(F15="Thousands",F44/1000000,IF(F15="Millions",F44/1000))</f>
        <v>40.751121600000005</v>
      </c>
      <c r="G14" s="84">
        <f>IF(G15="Thousands",G44/1000000,IF(G15="Millions",G44/1000))</f>
        <v>66.035835000000006</v>
      </c>
      <c r="H14" s="84">
        <f>IF(H15="Thousands",H44/1000000,IF(H15="Millions",H44/1000))</f>
        <v>0.76003199999999993</v>
      </c>
      <c r="I14" s="84">
        <f>IF(I15="Thousands",I44/1000000,IF(I15="Millions",I44/1000))</f>
        <v>18.406808000000002</v>
      </c>
      <c r="J14" s="84">
        <f>IF(J15="Thousands",J44/1000000,IF(J15="Millions",J44/1000))</f>
        <v>36.891835829999998</v>
      </c>
      <c r="K14" s="72"/>
      <c r="L14" s="82" t="s">
        <v>138</v>
      </c>
      <c r="M14" s="774">
        <f>(M21*$O$35)/$O$41</f>
        <v>388.32559384624676</v>
      </c>
      <c r="N14" s="774">
        <f>(N21*$O$35)/$O$41</f>
        <v>239.14628802476622</v>
      </c>
      <c r="O14" s="774">
        <f>(O21*$O$35)/$O$41</f>
        <v>61.264766473585148</v>
      </c>
    </row>
    <row r="15" spans="1:25" ht="17.25" thickBot="1">
      <c r="A15" s="72"/>
      <c r="B15" s="215" t="s">
        <v>190</v>
      </c>
      <c r="C15" s="72"/>
      <c r="D15" s="85" t="s">
        <v>191</v>
      </c>
      <c r="E15" s="86"/>
      <c r="F15" s="86" t="s">
        <v>191</v>
      </c>
      <c r="G15" s="86" t="s">
        <v>191</v>
      </c>
      <c r="H15" s="86" t="s">
        <v>191</v>
      </c>
      <c r="I15" s="86" t="s">
        <v>191</v>
      </c>
      <c r="J15" s="86" t="s">
        <v>191</v>
      </c>
      <c r="K15" s="72"/>
      <c r="L15" s="82" t="s">
        <v>151</v>
      </c>
      <c r="M15" s="775">
        <f>((MAX($F$22:$I$22)*$O$37)+$O$39-$O$40)/$O$41</f>
        <v>564.71634713442893</v>
      </c>
      <c r="N15" s="775">
        <f>((N22*$O$37)+$O$39-$O$40)/$O$41</f>
        <v>202.41660239378962</v>
      </c>
      <c r="O15" s="775">
        <f>((O22*$O$37)+$O$39-$O$40)/$O$41</f>
        <v>61.500907478340601</v>
      </c>
    </row>
    <row r="16" spans="1:25" ht="16.5">
      <c r="A16" s="72"/>
      <c r="B16" s="215" t="s">
        <v>192</v>
      </c>
      <c r="C16" s="72"/>
      <c r="D16" s="85">
        <f>D42</f>
        <v>114.120003</v>
      </c>
      <c r="E16" s="44"/>
      <c r="F16" s="86">
        <f>F42</f>
        <v>128.52000000000001</v>
      </c>
      <c r="G16" s="86">
        <f>G42</f>
        <v>156.15</v>
      </c>
      <c r="H16" s="86">
        <f>H42</f>
        <v>32.479999999999997</v>
      </c>
      <c r="I16" s="86">
        <f>I42</f>
        <v>12.88</v>
      </c>
      <c r="J16" s="86">
        <f>J42</f>
        <v>142.97</v>
      </c>
      <c r="K16" s="72"/>
      <c r="L16" s="72"/>
      <c r="M16" s="206" t="s">
        <v>193</v>
      </c>
      <c r="N16" s="204"/>
      <c r="O16" s="772">
        <f>SUMPRODUCT(N13:N15,Tear!$H$29:$H$31)</f>
        <v>197.92229286202479</v>
      </c>
    </row>
    <row r="17" spans="1:18" ht="17.25" thickBot="1">
      <c r="A17" s="72"/>
      <c r="B17" s="215" t="s">
        <v>194</v>
      </c>
      <c r="C17" s="72"/>
      <c r="D17" s="85">
        <f>D48/D43</f>
        <v>35.280378805953717</v>
      </c>
      <c r="E17" s="86"/>
      <c r="F17" s="86">
        <f>F48/F43</f>
        <v>30.547495900088308</v>
      </c>
      <c r="G17" s="86">
        <f>G48/G43</f>
        <v>16.230787420193899</v>
      </c>
      <c r="H17" s="86">
        <f>H48/H43</f>
        <v>18.385811965811964</v>
      </c>
      <c r="I17" s="86">
        <f>I48/I43</f>
        <v>6.7591491148275136</v>
      </c>
      <c r="J17" s="86">
        <f>J48/J43</f>
        <v>27.568096295521219</v>
      </c>
      <c r="K17" s="72"/>
      <c r="L17" s="72"/>
      <c r="M17" s="207" t="s">
        <v>195</v>
      </c>
      <c r="N17" s="203"/>
      <c r="O17" s="205">
        <f>O16/Tear!H12-1</f>
        <v>0.39088048392146724</v>
      </c>
    </row>
    <row r="18" spans="1:18" ht="16.5">
      <c r="A18" s="72"/>
      <c r="B18" s="215"/>
      <c r="C18" s="72"/>
      <c r="D18" s="87"/>
      <c r="E18" s="44"/>
      <c r="F18" s="44"/>
      <c r="G18" s="44"/>
      <c r="H18" s="44"/>
      <c r="I18" s="44"/>
      <c r="J18" s="44"/>
      <c r="K18" s="72"/>
      <c r="M18" s="44"/>
      <c r="N18" s="44"/>
      <c r="O18" s="72"/>
    </row>
    <row r="19" spans="1:18" ht="17.25" thickBot="1">
      <c r="A19" s="72"/>
      <c r="B19" s="216" t="s">
        <v>184</v>
      </c>
      <c r="C19" s="77"/>
      <c r="D19" s="88"/>
      <c r="E19" s="69"/>
      <c r="F19" s="69"/>
      <c r="G19" s="69"/>
      <c r="H19" s="69"/>
      <c r="I19" s="69"/>
      <c r="J19" s="69"/>
      <c r="K19" s="77"/>
      <c r="L19" s="44"/>
      <c r="M19" s="44"/>
      <c r="N19" s="89"/>
      <c r="O19" s="72"/>
      <c r="P19" s="723"/>
      <c r="Q19"/>
      <c r="R19"/>
    </row>
    <row r="20" spans="1:18" ht="16.5">
      <c r="A20" s="72"/>
      <c r="B20" s="215" t="s">
        <v>154</v>
      </c>
      <c r="C20" s="72"/>
      <c r="D20" s="90">
        <f>D42/D55</f>
        <v>15.101754010892691</v>
      </c>
      <c r="E20" s="89"/>
      <c r="F20" s="89">
        <f>F42/F55</f>
        <v>27.402985074626866</v>
      </c>
      <c r="G20" s="89">
        <f>G42/G55</f>
        <v>28.809963099630998</v>
      </c>
      <c r="H20" s="89">
        <f>H42/H55</f>
        <v>9.0726256983240212</v>
      </c>
      <c r="I20" s="89">
        <f>I42/I55</f>
        <v>12.88</v>
      </c>
      <c r="J20" s="89">
        <f>J42/J55</f>
        <v>44.126543209876537</v>
      </c>
      <c r="K20" s="70"/>
      <c r="L20" s="215"/>
      <c r="M20" s="283">
        <f>MAX(F20:I20)</f>
        <v>28.809963099630998</v>
      </c>
      <c r="N20" s="285">
        <f>MEDIAN(F20:I20)</f>
        <v>20.141492537313432</v>
      </c>
      <c r="O20" s="287">
        <f>MIN(F20:I20)</f>
        <v>9.0726256983240212</v>
      </c>
    </row>
    <row r="21" spans="1:18" ht="16.5">
      <c r="A21" s="72"/>
      <c r="B21" s="215" t="s">
        <v>138</v>
      </c>
      <c r="C21" s="72"/>
      <c r="D21" s="90">
        <f>D47/D51</f>
        <v>1.5774926868729078</v>
      </c>
      <c r="E21" s="89"/>
      <c r="F21" s="89">
        <f>F47/F51</f>
        <v>3.8776743614604072</v>
      </c>
      <c r="G21" s="89">
        <f>G47/G51</f>
        <v>4.0952804853284599</v>
      </c>
      <c r="H21" s="89">
        <f>H47/H51</f>
        <v>1.1663976338268027</v>
      </c>
      <c r="I21" s="89">
        <f>I47/I51</f>
        <v>0.64609803359193008</v>
      </c>
      <c r="J21" s="89">
        <f>J47/J51</f>
        <v>6.0886851545489167</v>
      </c>
      <c r="K21" s="72"/>
      <c r="L21" s="215"/>
      <c r="M21" s="284">
        <f>MAX(F21:I21)</f>
        <v>4.0952804853284599</v>
      </c>
      <c r="N21" s="286">
        <f>MEDIAN(F21:I21)</f>
        <v>2.5220359976436049</v>
      </c>
      <c r="O21" s="288">
        <f>MIN(F21:I21)</f>
        <v>0.64609803359193008</v>
      </c>
    </row>
    <row r="22" spans="1:18" ht="16.5">
      <c r="A22" s="72"/>
      <c r="B22" s="215" t="s">
        <v>354</v>
      </c>
      <c r="D22" s="90">
        <f>D47/D58</f>
        <v>8.2967947010875047</v>
      </c>
      <c r="F22" s="89">
        <f>F47/F58</f>
        <v>33.279609225629009</v>
      </c>
      <c r="G22" s="89">
        <f>G47/G58</f>
        <v>15.123516122984627</v>
      </c>
      <c r="H22" s="89">
        <f>H47/H58</f>
        <v>5.3680187895774933</v>
      </c>
      <c r="I22" s="89">
        <f>I47/I58</f>
        <v>11.244717341017004</v>
      </c>
      <c r="J22" s="89">
        <f>J47/J58</f>
        <v>20.232995230051412</v>
      </c>
      <c r="K22" s="72"/>
      <c r="L22" s="215"/>
      <c r="M22" s="284">
        <f>MAX(F22:I22)</f>
        <v>33.279609225629009</v>
      </c>
      <c r="N22" s="286">
        <f>MEDIAN(F22:I22)</f>
        <v>13.184116732000817</v>
      </c>
      <c r="O22" s="288">
        <f>MIN(F22:I22)</f>
        <v>5.3680187895774933</v>
      </c>
    </row>
    <row r="23" spans="1:18" ht="16.5">
      <c r="A23" s="72"/>
      <c r="B23" s="215" t="s">
        <v>196</v>
      </c>
      <c r="C23" s="72"/>
      <c r="D23" s="91">
        <f>D17/D16</f>
        <v>0.30915157622238859</v>
      </c>
      <c r="E23" s="89"/>
      <c r="F23" s="92">
        <f>F17/F16</f>
        <v>0.23768670946224948</v>
      </c>
      <c r="G23" s="92">
        <f>G17/G16</f>
        <v>0.10394356336979761</v>
      </c>
      <c r="H23" s="92">
        <f>H17/H16</f>
        <v>0.56606563934150145</v>
      </c>
      <c r="I23" s="92">
        <f>I17/I16</f>
        <v>0.52477865798350254</v>
      </c>
      <c r="J23" s="92">
        <f>J17/J16</f>
        <v>0.19282434283780667</v>
      </c>
      <c r="K23" s="72"/>
      <c r="L23" s="215"/>
      <c r="M23" s="89"/>
      <c r="N23" s="89"/>
      <c r="O23" s="211"/>
    </row>
    <row r="24" spans="1:18" ht="16.5">
      <c r="A24" s="72"/>
      <c r="B24" s="215"/>
      <c r="C24" s="215"/>
      <c r="D24" s="281"/>
      <c r="E24" s="89"/>
      <c r="F24" s="89"/>
      <c r="G24" s="89"/>
      <c r="H24" s="280">
        <f>H47/H58</f>
        <v>5.3680187895774933</v>
      </c>
      <c r="I24" s="280">
        <f>I47/I58</f>
        <v>11.244717341017004</v>
      </c>
      <c r="J24" s="280">
        <f>J47/J58</f>
        <v>20.232995230051412</v>
      </c>
      <c r="K24" s="72"/>
      <c r="L24" s="215"/>
      <c r="M24" s="89"/>
      <c r="N24" s="89"/>
      <c r="O24" s="211"/>
    </row>
    <row r="25" spans="1:18" ht="17.25" thickBot="1">
      <c r="A25" s="72"/>
      <c r="B25" s="216" t="s">
        <v>197</v>
      </c>
      <c r="C25" s="77"/>
      <c r="D25" s="88"/>
      <c r="E25" s="69"/>
      <c r="F25" s="69"/>
      <c r="G25" s="69"/>
      <c r="H25" s="69"/>
      <c r="I25" s="69"/>
      <c r="J25" s="69"/>
      <c r="K25" s="77"/>
      <c r="L25" s="215"/>
      <c r="M25" s="69"/>
      <c r="N25" s="69"/>
      <c r="O25" s="77"/>
    </row>
    <row r="26" spans="1:18" ht="16.5">
      <c r="A26" s="72"/>
      <c r="B26" s="215" t="s">
        <v>198</v>
      </c>
      <c r="C26" s="72"/>
      <c r="D26" s="91">
        <f>D52/D51</f>
        <v>0.31406987760821664</v>
      </c>
      <c r="E26" s="93"/>
      <c r="F26" s="92">
        <f>F52/F51</f>
        <v>0.39273052926069291</v>
      </c>
      <c r="G26" s="92">
        <f>G52/G51</f>
        <v>0.37587572342369785</v>
      </c>
      <c r="H26" s="92">
        <f>H52/H51</f>
        <v>0.30013914519455653</v>
      </c>
      <c r="I26" s="92">
        <f>I52/I51</f>
        <v>0.16661886473919968</v>
      </c>
      <c r="J26" s="92">
        <f>J52/J51</f>
        <v>0.39876639296469885</v>
      </c>
      <c r="K26" s="72"/>
      <c r="L26" s="215"/>
      <c r="M26" s="489">
        <f>MAX(F26:I26)</f>
        <v>0.39273052926069291</v>
      </c>
      <c r="N26" s="490">
        <f>MEDIAN(F26:I26)</f>
        <v>0.33800743430912716</v>
      </c>
      <c r="O26" s="491">
        <f>MIN(F26:I26)</f>
        <v>0.16661886473919968</v>
      </c>
    </row>
    <row r="27" spans="1:18" ht="16.5">
      <c r="A27" s="72"/>
      <c r="B27" s="215" t="s">
        <v>199</v>
      </c>
      <c r="C27" s="72"/>
      <c r="D27" s="91">
        <f>D58/D51</f>
        <v>0.1901327854558264</v>
      </c>
      <c r="E27" s="93"/>
      <c r="F27" s="92">
        <f>F58/F51</f>
        <v>0.1165180256526019</v>
      </c>
      <c r="G27" s="92">
        <f>G58/G51</f>
        <v>0.27078891257995735</v>
      </c>
      <c r="H27" s="92">
        <f>H58/H51</f>
        <v>0.21728642904370457</v>
      </c>
      <c r="I27" s="92">
        <f>I58/I51</f>
        <v>5.7457916815319005E-2</v>
      </c>
      <c r="J27" s="92">
        <f>J58/J51</f>
        <v>0.30092851232948398</v>
      </c>
      <c r="K27" s="72"/>
      <c r="L27" s="215"/>
      <c r="M27" s="489">
        <f>MAX(F27:I27)</f>
        <v>0.27078891257995735</v>
      </c>
      <c r="N27" s="490">
        <f>MEDIAN(F27:I27)</f>
        <v>0.16690222734815324</v>
      </c>
      <c r="O27" s="491">
        <f>MIN(F27:I27)</f>
        <v>5.7457916815319005E-2</v>
      </c>
    </row>
    <row r="28" spans="1:18" ht="16.5">
      <c r="A28" s="72"/>
      <c r="B28" s="215" t="s">
        <v>200</v>
      </c>
      <c r="C28" s="72"/>
      <c r="D28" s="91">
        <f>D53/D51</f>
        <v>0.12285572440703324</v>
      </c>
      <c r="E28" s="93"/>
      <c r="F28" s="92">
        <f>F53/F51</f>
        <v>1.648323995470458E-2</v>
      </c>
      <c r="G28" s="92">
        <f>G53/G51</f>
        <v>0.16732663214539548</v>
      </c>
      <c r="H28" s="92">
        <f>H53/H51</f>
        <v>0.1669192520840059</v>
      </c>
      <c r="I28" s="92">
        <f>I53/I51</f>
        <v>5.0082429177363802E-2</v>
      </c>
      <c r="J28" s="92">
        <f>J53/J51</f>
        <v>0.17350505604726882</v>
      </c>
      <c r="K28" s="72"/>
      <c r="L28" s="215"/>
      <c r="M28" s="489">
        <f>MAX(F28:I28)</f>
        <v>0.16732663214539548</v>
      </c>
      <c r="N28" s="490">
        <f>MEDIAN(F28:I28)</f>
        <v>0.10850084063068485</v>
      </c>
      <c r="O28" s="491">
        <f>MIN(F28:I28)</f>
        <v>1.648323995470458E-2</v>
      </c>
    </row>
    <row r="29" spans="1:18" ht="16.5">
      <c r="A29" s="72"/>
      <c r="B29" s="215" t="s">
        <v>201</v>
      </c>
      <c r="C29" s="72"/>
      <c r="D29" s="91">
        <f>D54/D51</f>
        <v>7.9693338275327805E-2</v>
      </c>
      <c r="E29" s="93"/>
      <c r="F29" s="92">
        <f>F54/F51</f>
        <v>0.1101004344511631</v>
      </c>
      <c r="G29" s="92">
        <f>G54/G51</f>
        <v>0.11361559549192811</v>
      </c>
      <c r="H29" s="92">
        <f>H54/H51</f>
        <v>0.11949146449259937</v>
      </c>
      <c r="I29" s="92">
        <f>I54/I51</f>
        <v>1.6691033990668132E-2</v>
      </c>
      <c r="J29" s="92">
        <f>J54/J51</f>
        <v>0.11587331366295431</v>
      </c>
      <c r="K29" s="72"/>
      <c r="L29" s="215"/>
      <c r="M29" s="489">
        <f>MAX(F29:I29)</f>
        <v>0.11949146449259937</v>
      </c>
      <c r="N29" s="490">
        <f>MEDIAN(F29:I29)</f>
        <v>0.1118580149715456</v>
      </c>
      <c r="O29" s="491">
        <f>MIN(F29:I29)</f>
        <v>1.6691033990668132E-2</v>
      </c>
    </row>
    <row r="30" spans="1:18" ht="16.5">
      <c r="A30" s="72"/>
      <c r="B30" s="215"/>
      <c r="C30" s="72"/>
      <c r="D30" s="91"/>
      <c r="E30" s="93"/>
      <c r="F30" s="92"/>
      <c r="G30" s="92"/>
      <c r="H30" s="92"/>
      <c r="I30" s="92"/>
      <c r="J30" s="92"/>
      <c r="K30" s="72"/>
      <c r="L30" s="215"/>
      <c r="M30" s="94"/>
      <c r="N30" s="94"/>
      <c r="O30" s="209"/>
    </row>
    <row r="31" spans="1:18" ht="17.25" thickBot="1">
      <c r="A31" s="72"/>
      <c r="B31" s="216" t="s">
        <v>202</v>
      </c>
      <c r="C31" s="77"/>
      <c r="D31" s="95"/>
      <c r="E31" s="96"/>
      <c r="F31" s="97"/>
      <c r="G31" s="97"/>
      <c r="H31" s="97"/>
      <c r="I31" s="97"/>
      <c r="J31" s="97"/>
      <c r="K31" s="77"/>
      <c r="L31" s="215"/>
      <c r="M31" s="98"/>
      <c r="N31" s="98"/>
      <c r="O31" s="212"/>
    </row>
    <row r="32" spans="1:18" ht="16.5">
      <c r="A32" s="72"/>
      <c r="B32" s="217" t="s">
        <v>353</v>
      </c>
      <c r="C32" s="72"/>
      <c r="D32" s="99">
        <f>D46/D58</f>
        <v>2.4684177897491808</v>
      </c>
      <c r="E32" s="93"/>
      <c r="F32" s="100">
        <f>F46/F58</f>
        <v>7.4856286246037946</v>
      </c>
      <c r="G32" s="100">
        <f>G46/G58</f>
        <v>2.8091488563929508</v>
      </c>
      <c r="H32" s="100">
        <f>H46/H58</f>
        <v>0.57992707360116269</v>
      </c>
      <c r="I32" s="100">
        <f>I46/I58</f>
        <v>3.9485004667018382</v>
      </c>
      <c r="J32" s="100">
        <f>J46/J58</f>
        <v>3.2703729609529577</v>
      </c>
      <c r="K32" s="72"/>
      <c r="L32" s="94"/>
      <c r="M32" s="94"/>
      <c r="N32" s="282"/>
    </row>
    <row r="33" spans="1:15" ht="16.5">
      <c r="A33" s="72"/>
      <c r="B33" s="215" t="s">
        <v>203</v>
      </c>
      <c r="C33" s="72"/>
      <c r="D33" s="99">
        <f>D58/D56</f>
        <v>-9.1242209487010388</v>
      </c>
      <c r="E33" s="93"/>
      <c r="F33" s="100">
        <f>F58/F56</f>
        <v>-3.9795500505561172</v>
      </c>
      <c r="G33" s="100">
        <f>G58/G56</f>
        <v>-14.111111111111111</v>
      </c>
      <c r="H33" s="100">
        <f>H58/H56</f>
        <v>47.688118811881189</v>
      </c>
      <c r="I33" s="100">
        <f>I58/I56</f>
        <v>-3.780454127032832</v>
      </c>
      <c r="J33" s="100">
        <f>J58/J56</f>
        <v>-10.726255492237966</v>
      </c>
      <c r="K33" s="72"/>
      <c r="L33" s="94"/>
      <c r="M33" s="756" t="s">
        <v>207</v>
      </c>
      <c r="N33" s="756"/>
      <c r="O33" s="756"/>
    </row>
    <row r="34" spans="1:15" ht="16.5">
      <c r="A34" s="72"/>
      <c r="B34" s="215" t="s">
        <v>204</v>
      </c>
      <c r="C34" s="72"/>
      <c r="D34" s="99">
        <f>D46/D48</f>
        <v>1.2614057374362879</v>
      </c>
      <c r="E34" s="93"/>
      <c r="F34" s="100">
        <f>F46/F48</f>
        <v>1.2166735494528185</v>
      </c>
      <c r="G34" s="100">
        <f>G46/G48</f>
        <v>2.1829836829836831</v>
      </c>
      <c r="H34" s="100">
        <f>H46/H48</f>
        <v>0.20775728218525991</v>
      </c>
      <c r="I34" s="100">
        <f>I46/I48</f>
        <v>1.0072467519022723</v>
      </c>
      <c r="J34" s="100">
        <f>J46/J48</f>
        <v>0.99773618134390751</v>
      </c>
      <c r="K34" s="72"/>
      <c r="L34" s="44"/>
      <c r="M34" s="105" t="s">
        <v>209</v>
      </c>
      <c r="N34" s="106"/>
      <c r="O34" s="107">
        <f>'Operating Model'!AK42</f>
        <v>7.5567383045497092</v>
      </c>
    </row>
    <row r="35" spans="1:15" ht="16.5">
      <c r="A35" s="72"/>
      <c r="B35" s="215" t="s">
        <v>205</v>
      </c>
      <c r="C35" s="72"/>
      <c r="D35" s="99">
        <f>D46/(D46+D48)</f>
        <v>0.55779717746109525</v>
      </c>
      <c r="E35" s="93"/>
      <c r="F35" s="100">
        <f>F46/(F46+F48)</f>
        <v>0.54887358120601559</v>
      </c>
      <c r="G35" s="100">
        <f>G46/(G46+G48)</f>
        <v>0.68582936653240567</v>
      </c>
      <c r="H35" s="100">
        <f>H46/(H46+H48)</f>
        <v>0.17201906811056733</v>
      </c>
      <c r="I35" s="100">
        <f>I46/(I46+I48)</f>
        <v>0.50180514724843983</v>
      </c>
      <c r="J35" s="100">
        <f>J46/(J46+J48)</f>
        <v>0.49943340400068004</v>
      </c>
      <c r="K35" s="72"/>
      <c r="L35" s="230"/>
      <c r="M35" s="105" t="s">
        <v>415</v>
      </c>
      <c r="N35" s="106"/>
      <c r="O35" s="107">
        <f>'Operating Model'!AK23</f>
        <v>5166605</v>
      </c>
    </row>
    <row r="36" spans="1:15" ht="17.25" thickBot="1">
      <c r="A36" s="44"/>
      <c r="B36" s="214"/>
      <c r="C36" s="77"/>
      <c r="D36" s="95"/>
      <c r="E36" s="97"/>
      <c r="F36" s="97"/>
      <c r="G36" s="97"/>
      <c r="H36" s="97"/>
      <c r="I36" s="97"/>
      <c r="J36" s="97"/>
      <c r="K36" s="77"/>
      <c r="L36" s="44"/>
      <c r="M36" s="111" t="s">
        <v>211</v>
      </c>
      <c r="N36" s="112"/>
      <c r="O36" s="113">
        <f>'Operating Model'!AK31</f>
        <v>634747</v>
      </c>
    </row>
    <row r="37" spans="1:15" ht="16.5">
      <c r="A37" s="44"/>
      <c r="B37" s="45"/>
      <c r="C37" s="44"/>
      <c r="D37" s="45"/>
      <c r="E37" s="44"/>
      <c r="F37" s="44"/>
      <c r="G37" s="44"/>
      <c r="H37" s="44"/>
      <c r="I37" s="44"/>
      <c r="J37" s="44"/>
      <c r="K37" s="44"/>
      <c r="L37" s="44"/>
      <c r="M37" s="105" t="s">
        <v>213</v>
      </c>
      <c r="N37" s="44"/>
      <c r="O37" s="116">
        <f>'Operating Model'!AK29</f>
        <v>982341</v>
      </c>
    </row>
    <row r="38" spans="1:15" ht="33">
      <c r="A38" s="44"/>
      <c r="K38" s="44"/>
      <c r="L38" s="44"/>
      <c r="M38" s="111" t="s">
        <v>215</v>
      </c>
      <c r="N38" s="112"/>
      <c r="O38" s="113">
        <f>'Operating Model'!AK38</f>
        <v>411744</v>
      </c>
    </row>
    <row r="39" spans="1:15" ht="16.5">
      <c r="A39" s="44"/>
      <c r="K39" s="44"/>
      <c r="L39" s="44"/>
      <c r="M39" s="105" t="s">
        <v>217</v>
      </c>
      <c r="N39" s="44"/>
      <c r="O39" s="121">
        <f>'Operating Model'!AK62</f>
        <v>492603</v>
      </c>
    </row>
    <row r="40" spans="1:15" ht="17.25" thickBot="1">
      <c r="A40" s="104"/>
      <c r="B40" s="488"/>
      <c r="C40" s="488"/>
      <c r="D40" s="488"/>
      <c r="E40" s="488"/>
      <c r="F40" s="488"/>
      <c r="G40" s="488"/>
      <c r="H40" s="631"/>
      <c r="I40" s="631"/>
      <c r="J40" s="631"/>
      <c r="K40" s="44"/>
      <c r="L40" s="44"/>
      <c r="M40" s="111" t="s">
        <v>219</v>
      </c>
      <c r="N40" s="112"/>
      <c r="O40" s="123">
        <f>'Operating Model'!AK89</f>
        <v>2414828</v>
      </c>
    </row>
    <row r="41" spans="1:15" ht="33">
      <c r="A41" s="72"/>
      <c r="B41" s="486" t="s">
        <v>206</v>
      </c>
      <c r="C41" s="487"/>
      <c r="D41" s="487"/>
      <c r="E41" s="487"/>
      <c r="F41" s="487"/>
      <c r="G41" s="487"/>
      <c r="H41" s="650"/>
      <c r="I41" s="634"/>
      <c r="J41" s="633"/>
      <c r="K41" s="44"/>
      <c r="L41" s="44"/>
      <c r="M41" s="126" t="s">
        <v>221</v>
      </c>
      <c r="N41" s="127"/>
      <c r="O41" s="128">
        <f>'Operating Model'!AK44</f>
        <v>54487</v>
      </c>
    </row>
    <row r="42" spans="1:15" ht="16.5">
      <c r="A42" s="72"/>
      <c r="B42" s="45" t="s">
        <v>208</v>
      </c>
      <c r="C42" s="45">
        <v>7</v>
      </c>
      <c r="D42" s="133">
        <f>Beta!C1205</f>
        <v>114.120003</v>
      </c>
      <c r="E42" s="134"/>
      <c r="F42" s="133">
        <v>128.52000000000001</v>
      </c>
      <c r="G42" s="638">
        <v>156.15</v>
      </c>
      <c r="H42" s="133">
        <v>32.479999999999997</v>
      </c>
      <c r="I42" s="646">
        <v>12.88</v>
      </c>
      <c r="J42" s="655">
        <v>142.97</v>
      </c>
      <c r="K42" s="44"/>
      <c r="L42" s="44"/>
    </row>
    <row r="43" spans="1:15" ht="18.75">
      <c r="A43" s="72"/>
      <c r="B43" s="108" t="s">
        <v>210</v>
      </c>
      <c r="C43" s="45"/>
      <c r="D43" s="109">
        <f>'Operating Model'!AK44</f>
        <v>54487</v>
      </c>
      <c r="E43" s="110"/>
      <c r="F43" s="13">
        <v>317080</v>
      </c>
      <c r="G43" s="639">
        <v>422900</v>
      </c>
      <c r="H43" s="635">
        <v>23400</v>
      </c>
      <c r="I43" s="652">
        <v>1429100</v>
      </c>
      <c r="J43" s="656">
        <v>258039</v>
      </c>
      <c r="K43" s="44"/>
      <c r="L43" s="44"/>
    </row>
    <row r="44" spans="1:15" ht="16.5">
      <c r="A44" s="72"/>
      <c r="B44" s="114" t="s">
        <v>212</v>
      </c>
      <c r="C44" s="114"/>
      <c r="D44" s="115">
        <f>D42*D43</f>
        <v>6218056.6034610001</v>
      </c>
      <c r="E44" s="115"/>
      <c r="F44" s="122">
        <f>F42*F43</f>
        <v>40751121.600000001</v>
      </c>
      <c r="G44" s="122">
        <f>G42*G43</f>
        <v>66035835</v>
      </c>
      <c r="H44" s="651">
        <f>H42*H43</f>
        <v>760031.99999999988</v>
      </c>
      <c r="I44" s="122">
        <f>I42*I43</f>
        <v>18406808</v>
      </c>
      <c r="J44" s="483">
        <f>J42*J43</f>
        <v>36891835.829999998</v>
      </c>
      <c r="K44" s="44"/>
      <c r="L44" s="44"/>
    </row>
    <row r="45" spans="1:15" ht="16.5">
      <c r="A45" s="72"/>
      <c r="B45" s="108" t="s">
        <v>214</v>
      </c>
      <c r="C45" s="45"/>
      <c r="D45" s="117">
        <f>'Historical Valuation'!C7</f>
        <v>492603</v>
      </c>
      <c r="E45" s="118"/>
      <c r="F45" s="117">
        <v>143400</v>
      </c>
      <c r="G45" s="640">
        <f>351000</f>
        <v>351000</v>
      </c>
      <c r="H45" s="636">
        <v>22053</v>
      </c>
      <c r="I45" s="653">
        <v>428200</v>
      </c>
      <c r="J45" s="657">
        <v>78637</v>
      </c>
      <c r="K45" s="44"/>
      <c r="L45" s="44"/>
      <c r="N45"/>
    </row>
    <row r="46" spans="1:15" ht="18.75">
      <c r="A46" s="72"/>
      <c r="B46" s="108" t="s">
        <v>216</v>
      </c>
      <c r="C46" s="45"/>
      <c r="D46" s="119">
        <f>'Historical Valuation'!C8</f>
        <v>2424828</v>
      </c>
      <c r="E46" s="120"/>
      <c r="F46" s="119">
        <v>11784700</v>
      </c>
      <c r="G46" s="639">
        <v>14984000</v>
      </c>
      <c r="H46" s="635">
        <v>89383</v>
      </c>
      <c r="I46" s="652">
        <v>9729500</v>
      </c>
      <c r="J46" s="656">
        <v>7097540</v>
      </c>
      <c r="K46" s="44"/>
      <c r="L46" s="44"/>
    </row>
    <row r="47" spans="1:15" ht="16.5">
      <c r="A47" s="72"/>
      <c r="B47" s="114" t="s">
        <v>218</v>
      </c>
      <c r="C47" s="114"/>
      <c r="D47" s="122">
        <f>D44-D45+D46</f>
        <v>8150281.6034610001</v>
      </c>
      <c r="E47" s="122"/>
      <c r="F47" s="122">
        <f>F44-F45+F46</f>
        <v>52392421.600000001</v>
      </c>
      <c r="G47" s="122">
        <f>G44-G45+G46</f>
        <v>80668835</v>
      </c>
      <c r="H47" s="651">
        <f>H44-H45+H46</f>
        <v>827361.99999999988</v>
      </c>
      <c r="I47" s="122">
        <f>I44-I45+I46</f>
        <v>27708108</v>
      </c>
      <c r="J47" s="483">
        <f>J44-J45+J46</f>
        <v>43910738.829999998</v>
      </c>
      <c r="K47" s="44"/>
      <c r="L47" s="44"/>
    </row>
    <row r="48" spans="1:15" ht="16.5">
      <c r="A48" s="72"/>
      <c r="B48" s="44" t="s">
        <v>220</v>
      </c>
      <c r="C48" s="44"/>
      <c r="D48" s="124">
        <f>'Operating Model'!AK101</f>
        <v>1922322</v>
      </c>
      <c r="E48" s="125"/>
      <c r="F48" s="124">
        <v>9686000</v>
      </c>
      <c r="G48" s="641">
        <v>6864000</v>
      </c>
      <c r="H48" s="637">
        <v>430228</v>
      </c>
      <c r="I48" s="654">
        <v>9659500</v>
      </c>
      <c r="J48" s="658">
        <v>7113644</v>
      </c>
      <c r="K48" s="44"/>
      <c r="L48" s="44"/>
      <c r="M48" s="44"/>
      <c r="N48" s="44"/>
      <c r="O48" s="44"/>
    </row>
    <row r="49" spans="1:15" ht="16.5">
      <c r="A49" s="72"/>
      <c r="B49" s="44"/>
      <c r="C49" s="44"/>
      <c r="D49" s="129"/>
      <c r="E49" s="129"/>
      <c r="F49" s="129"/>
      <c r="G49" s="129"/>
      <c r="H49" s="632"/>
      <c r="I49" s="146"/>
      <c r="J49" s="484"/>
      <c r="K49" s="44"/>
      <c r="L49" s="44"/>
      <c r="M49" s="44"/>
      <c r="N49" s="44"/>
      <c r="O49" s="44"/>
    </row>
    <row r="50" spans="1:15" ht="16.5">
      <c r="A50" s="72"/>
      <c r="B50" s="102" t="s">
        <v>222</v>
      </c>
      <c r="C50" s="103"/>
      <c r="D50" s="130"/>
      <c r="E50" s="294"/>
      <c r="F50" s="130"/>
      <c r="G50" s="130"/>
      <c r="H50" s="130"/>
      <c r="I50" s="294"/>
      <c r="J50" s="485"/>
      <c r="K50" s="44"/>
      <c r="L50" s="44"/>
      <c r="M50" s="44"/>
      <c r="N50" s="44"/>
      <c r="O50" s="44"/>
    </row>
    <row r="51" spans="1:15" ht="16.5">
      <c r="A51" s="72"/>
      <c r="B51" s="44" t="s">
        <v>223</v>
      </c>
      <c r="C51" s="44"/>
      <c r="D51" s="131">
        <f>'Operating Model'!AK23</f>
        <v>5166605</v>
      </c>
      <c r="E51" s="293"/>
      <c r="F51" s="131">
        <v>13511300</v>
      </c>
      <c r="G51" s="642">
        <v>19698000</v>
      </c>
      <c r="H51" s="131">
        <v>709331</v>
      </c>
      <c r="I51" s="146">
        <v>42885300</v>
      </c>
      <c r="J51" s="659">
        <v>7211859</v>
      </c>
      <c r="K51" s="44"/>
      <c r="L51" s="44"/>
      <c r="M51" s="44"/>
      <c r="N51" s="44"/>
      <c r="O51" s="44"/>
    </row>
    <row r="52" spans="1:15" ht="16.5">
      <c r="A52" s="72"/>
      <c r="B52" s="44" t="s">
        <v>224</v>
      </c>
      <c r="C52" s="44"/>
      <c r="D52" s="131">
        <f>'Operating Model'!AK25</f>
        <v>1622675</v>
      </c>
      <c r="E52" s="146"/>
      <c r="F52" s="131">
        <v>5306300</v>
      </c>
      <c r="G52" s="642">
        <v>7404000</v>
      </c>
      <c r="H52" s="131">
        <v>212898</v>
      </c>
      <c r="I52" s="146">
        <v>7145500</v>
      </c>
      <c r="J52" s="659">
        <v>2875847</v>
      </c>
      <c r="K52" s="44"/>
      <c r="L52" s="44"/>
      <c r="M52" s="44"/>
      <c r="N52" s="44"/>
      <c r="O52" s="44"/>
    </row>
    <row r="53" spans="1:15" ht="16.5">
      <c r="A53" s="72"/>
      <c r="B53" s="44" t="s">
        <v>225</v>
      </c>
      <c r="C53" s="104"/>
      <c r="D53" s="292">
        <f>'Operating Model'!AK31</f>
        <v>634747</v>
      </c>
      <c r="E53" s="131"/>
      <c r="F53" s="292">
        <v>222710</v>
      </c>
      <c r="G53" s="642">
        <v>3296000</v>
      </c>
      <c r="H53" s="131">
        <v>118401</v>
      </c>
      <c r="I53" s="146">
        <v>2147800</v>
      </c>
      <c r="J53" s="659">
        <v>1251294</v>
      </c>
      <c r="K53" s="44"/>
      <c r="L53" s="44"/>
      <c r="M53" s="44"/>
      <c r="N53" s="44"/>
      <c r="O53" s="44"/>
    </row>
    <row r="54" spans="1:15" ht="16.5">
      <c r="A54" s="72"/>
      <c r="B54" s="44" t="s">
        <v>226</v>
      </c>
      <c r="C54" s="44"/>
      <c r="D54" s="131">
        <f>'Operating Model'!AK38</f>
        <v>411744</v>
      </c>
      <c r="E54" s="131"/>
      <c r="F54" s="131">
        <v>1487600</v>
      </c>
      <c r="G54" s="642">
        <v>2238000</v>
      </c>
      <c r="H54" s="131">
        <v>84759</v>
      </c>
      <c r="I54" s="146">
        <v>715800</v>
      </c>
      <c r="J54" s="659">
        <v>835662</v>
      </c>
      <c r="K54" s="44"/>
      <c r="L54" s="44"/>
      <c r="M54" s="44"/>
      <c r="N54" s="44"/>
      <c r="O54" s="44"/>
    </row>
    <row r="55" spans="1:15" ht="16.5">
      <c r="A55" s="72"/>
      <c r="B55" s="44" t="s">
        <v>227</v>
      </c>
      <c r="C55" s="44"/>
      <c r="D55" s="136">
        <f>'Operating Model'!AK42</f>
        <v>7.5567383045497092</v>
      </c>
      <c r="E55" s="136"/>
      <c r="F55" s="136">
        <v>4.6900000000000004</v>
      </c>
      <c r="G55" s="643">
        <v>5.42</v>
      </c>
      <c r="H55" s="136">
        <v>3.58</v>
      </c>
      <c r="I55" s="647">
        <v>1</v>
      </c>
      <c r="J55" s="660">
        <v>3.24</v>
      </c>
      <c r="L55" s="44"/>
      <c r="M55" s="44"/>
      <c r="N55" s="44"/>
      <c r="O55" s="44"/>
    </row>
    <row r="56" spans="1:15" ht="16.5">
      <c r="A56" s="72"/>
      <c r="B56" s="44" t="s">
        <v>228</v>
      </c>
      <c r="C56" s="44"/>
      <c r="D56" s="131">
        <f>'Operating Model'!AK35</f>
        <v>-107663</v>
      </c>
      <c r="E56" s="131"/>
      <c r="F56" s="131">
        <v>-395600</v>
      </c>
      <c r="G56" s="642">
        <v>-378000</v>
      </c>
      <c r="H56" s="131">
        <v>3232</v>
      </c>
      <c r="I56" s="146">
        <v>-651800</v>
      </c>
      <c r="J56" s="659">
        <v>-202331</v>
      </c>
      <c r="L56" s="44"/>
      <c r="M56" s="44"/>
      <c r="N56" s="44"/>
      <c r="O56" s="44"/>
    </row>
    <row r="57" spans="1:15" ht="16.5">
      <c r="A57" s="477"/>
      <c r="B57" s="44" t="s">
        <v>229</v>
      </c>
      <c r="C57" s="104"/>
      <c r="D57" s="132">
        <f>'Operating Model'!AK30</f>
        <v>347594</v>
      </c>
      <c r="E57" s="129"/>
      <c r="F57" s="132">
        <v>1351600</v>
      </c>
      <c r="G57" s="644">
        <v>2038000</v>
      </c>
      <c r="H57" s="132">
        <v>35727</v>
      </c>
      <c r="I57" s="648">
        <v>316300</v>
      </c>
      <c r="J57" s="661">
        <v>918960</v>
      </c>
      <c r="M57" s="44"/>
      <c r="N57" s="44"/>
      <c r="O57" s="44"/>
    </row>
    <row r="58" spans="1:15" ht="15.75" thickBot="1">
      <c r="A58" s="477"/>
      <c r="B58" s="478" t="s">
        <v>230</v>
      </c>
      <c r="C58" s="479"/>
      <c r="D58" s="480">
        <f>D53+D57</f>
        <v>982341</v>
      </c>
      <c r="E58" s="481"/>
      <c r="F58" s="482">
        <f>F53+F57</f>
        <v>1574310</v>
      </c>
      <c r="G58" s="645">
        <f>G53+G57</f>
        <v>5334000</v>
      </c>
      <c r="H58" s="482">
        <f>H53+H57</f>
        <v>154128</v>
      </c>
      <c r="I58" s="649">
        <f>I53+I57</f>
        <v>2464100</v>
      </c>
      <c r="J58" s="662">
        <f>J53+J57</f>
        <v>2170254</v>
      </c>
    </row>
  </sheetData>
  <mergeCells count="1">
    <mergeCell ref="M33:O33"/>
  </mergeCells>
  <conditionalFormatting sqref="D42:G42 D43:E43 G43 D45:G46 H42:J43 H46:J46 D48:J48 D51:J58">
    <cfRule type="cellIs" dxfId="9" priority="4" operator="greaterThan">
      <formula>0</formula>
    </cfRule>
  </conditionalFormatting>
  <conditionalFormatting sqref="D48 D45:D46 D42:D43 F42:G42 D51:D58 G43 F45:G46 H42:J43 F48:J48 H46:J46 F51:J58">
    <cfRule type="cellIs" dxfId="8" priority="3" operator="lessThan">
      <formula>0</formula>
    </cfRule>
  </conditionalFormatting>
  <conditionalFormatting sqref="D12:D13">
    <cfRule type="containsText" dxfId="7" priority="2" operator="containsText" text="&quot;&quot;">
      <formula>NOT(ISERROR(SEARCH("""""",D12)))</formula>
    </cfRule>
  </conditionalFormatting>
  <conditionalFormatting sqref="G12">
    <cfRule type="containsText" dxfId="6" priority="1" operator="containsText" text="&quot;&quot;">
      <formula>NOT(ISERROR(SEARCH("""""",G12)))</formula>
    </cfRule>
  </conditionalFormatting>
  <conditionalFormatting sqref="M13:O15">
    <cfRule type="cellIs" dxfId="1" priority="7" operator="lessThan">
      <formula>$D$42</formula>
    </cfRule>
    <cfRule type="cellIs" dxfId="0" priority="8" operator="greaterThan">
      <formula>$D$42</formula>
    </cfRule>
  </conditionalFormatting>
  <dataValidations disablePrompts="1" count="1">
    <dataValidation type="list" allowBlank="1" showInputMessage="1" showErrorMessage="1" sqref="D15 F15:J15" xr:uid="{FB0FF8AB-D233-4187-8B5F-379F6F3CF47B}">
      <formula1>"Thousands,Millions"</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1421E-CFAF-4C40-AD4D-D97B99D50DF7}">
  <dimension ref="B1:P33"/>
  <sheetViews>
    <sheetView showGridLines="0" zoomScale="120" zoomScaleNormal="120" workbookViewId="0"/>
  </sheetViews>
  <sheetFormatPr defaultRowHeight="15"/>
  <cols>
    <col min="1" max="1" width="1.5703125" style="665" customWidth="1"/>
    <col min="2" max="2" width="22.28515625" style="665" bestFit="1" customWidth="1"/>
    <col min="3" max="4" width="12.85546875" style="665" bestFit="1" customWidth="1"/>
    <col min="5" max="5" width="12.7109375" style="665" bestFit="1" customWidth="1"/>
    <col min="6" max="6" width="11.5703125" style="665" bestFit="1" customWidth="1"/>
    <col min="7" max="7" width="14.140625" style="665" bestFit="1" customWidth="1"/>
    <col min="8" max="8" width="11.7109375" style="665" bestFit="1" customWidth="1"/>
    <col min="9" max="9" width="13.42578125" style="665" bestFit="1" customWidth="1"/>
    <col min="10" max="11" width="9.85546875" style="665" bestFit="1" customWidth="1"/>
    <col min="12" max="12" width="9.42578125" style="665" bestFit="1" customWidth="1"/>
    <col min="13" max="13" width="9.7109375" style="665" bestFit="1" customWidth="1"/>
    <col min="14" max="14" width="9.140625" style="665"/>
    <col min="15" max="15" width="15" style="665" bestFit="1" customWidth="1"/>
    <col min="16" max="16" width="9.28515625" style="665" bestFit="1" customWidth="1"/>
    <col min="17" max="17" width="9.7109375" style="665" bestFit="1" customWidth="1"/>
    <col min="18" max="16384" width="9.140625" style="665"/>
  </cols>
  <sheetData>
    <row r="1" spans="2:16" ht="17.25" thickBot="1">
      <c r="B1" s="663" t="s">
        <v>137</v>
      </c>
      <c r="C1" s="664" t="s">
        <v>64</v>
      </c>
      <c r="D1" s="664"/>
      <c r="E1" s="664"/>
      <c r="F1" s="664"/>
      <c r="G1" s="664"/>
      <c r="H1" s="664"/>
      <c r="I1" s="664"/>
      <c r="J1" s="664"/>
      <c r="K1" s="664"/>
      <c r="L1" s="664"/>
      <c r="M1" s="664"/>
      <c r="N1" s="664"/>
      <c r="O1" s="664"/>
      <c r="P1" s="664"/>
    </row>
    <row r="2" spans="2:16" ht="9" customHeight="1" thickBot="1">
      <c r="B2" s="64"/>
      <c r="C2" s="64"/>
      <c r="D2" s="64"/>
      <c r="E2" s="64"/>
      <c r="F2" s="64"/>
      <c r="G2" s="64"/>
      <c r="H2" s="64"/>
      <c r="I2" s="64"/>
      <c r="J2" s="64"/>
      <c r="K2" s="64"/>
      <c r="L2" s="64"/>
      <c r="M2" s="64"/>
      <c r="N2" s="64"/>
      <c r="O2" s="64"/>
      <c r="P2" s="64"/>
    </row>
    <row r="3" spans="2:16" ht="17.25" thickBot="1">
      <c r="B3" s="666" t="s">
        <v>138</v>
      </c>
      <c r="C3" s="667" t="s">
        <v>139</v>
      </c>
      <c r="D3" s="667" t="s">
        <v>140</v>
      </c>
      <c r="E3" s="668" t="s">
        <v>141</v>
      </c>
      <c r="F3" s="1"/>
      <c r="G3" s="669" t="s">
        <v>142</v>
      </c>
      <c r="H3" s="667" t="s">
        <v>166</v>
      </c>
      <c r="I3" s="667" t="s">
        <v>143</v>
      </c>
      <c r="J3" s="667" t="s">
        <v>144</v>
      </c>
      <c r="K3" s="667" t="s">
        <v>145</v>
      </c>
      <c r="L3" s="668" t="s">
        <v>146</v>
      </c>
      <c r="M3" s="64"/>
      <c r="N3" s="64"/>
      <c r="O3" s="757" t="s">
        <v>147</v>
      </c>
      <c r="P3" s="758"/>
    </row>
    <row r="4" spans="2:16" ht="17.25" thickBot="1">
      <c r="B4" s="239" t="s">
        <v>148</v>
      </c>
      <c r="C4" s="670">
        <f>G29</f>
        <v>5166605</v>
      </c>
      <c r="D4" s="670">
        <f>C4</f>
        <v>5166605</v>
      </c>
      <c r="E4" s="238">
        <f>D4</f>
        <v>5166605</v>
      </c>
      <c r="F4" s="64"/>
      <c r="G4" s="671" t="s">
        <v>138</v>
      </c>
      <c r="H4" s="672">
        <f>C31/C29</f>
        <v>1.2480347675107406</v>
      </c>
      <c r="I4" s="672">
        <f>D31/D29</f>
        <v>1.7569908914802517</v>
      </c>
      <c r="J4" s="672">
        <f t="shared" ref="J4:L4" si="0">E31/E29</f>
        <v>1.6756954027245343</v>
      </c>
      <c r="K4" s="672">
        <f t="shared" si="0"/>
        <v>1.9781430162338531</v>
      </c>
      <c r="L4" s="673">
        <f t="shared" si="0"/>
        <v>1.575557179900728</v>
      </c>
      <c r="M4" s="64"/>
      <c r="N4" s="64"/>
      <c r="O4" s="50" t="s">
        <v>152</v>
      </c>
      <c r="P4" s="674">
        <f>Tear!H12</f>
        <v>142.30000000000001</v>
      </c>
    </row>
    <row r="5" spans="2:16" ht="17.25" thickBot="1">
      <c r="B5" s="43" t="s">
        <v>150</v>
      </c>
      <c r="C5" s="675">
        <f>MIN(H4:K4)</f>
        <v>1.2480347675107406</v>
      </c>
      <c r="D5" s="675">
        <f>MEDIAN(H4:K4)</f>
        <v>1.7163431471023931</v>
      </c>
      <c r="E5" s="676">
        <f>MAX(H4:K4)</f>
        <v>1.9781430162338531</v>
      </c>
      <c r="F5" s="64"/>
      <c r="G5" s="677" t="s">
        <v>151</v>
      </c>
      <c r="H5" s="678">
        <f>C31/C30</f>
        <v>8.5596455672601142</v>
      </c>
      <c r="I5" s="678">
        <f t="shared" ref="I5" si="1">D31/D30</f>
        <v>11.307811388940758</v>
      </c>
      <c r="J5" s="678">
        <f>E31/E30</f>
        <v>9.6803660234340416</v>
      </c>
      <c r="K5" s="678">
        <f>F31/F30</f>
        <v>11.652782421832383</v>
      </c>
      <c r="L5" s="679">
        <f>G31/G30</f>
        <v>8.2866149366268953</v>
      </c>
      <c r="M5" s="64"/>
      <c r="N5" s="64"/>
      <c r="O5" s="680" t="s">
        <v>149</v>
      </c>
      <c r="P5" s="681">
        <f>SUMPRODUCT(I9:I11,K9:K11)</f>
        <v>233.89328150266854</v>
      </c>
    </row>
    <row r="6" spans="2:16" ht="17.25" thickBot="1">
      <c r="B6" s="43" t="s">
        <v>153</v>
      </c>
      <c r="C6" s="682">
        <f>C4*C5</f>
        <v>6448102.6699948302</v>
      </c>
      <c r="D6" s="682">
        <f>D4*D5</f>
        <v>8867667.08553496</v>
      </c>
      <c r="E6" s="236">
        <f>E4*E5</f>
        <v>10220283.598388907</v>
      </c>
      <c r="F6" s="64"/>
      <c r="G6" s="683" t="s">
        <v>154</v>
      </c>
      <c r="H6" s="684">
        <f>C32/C33</f>
        <v>42.360577843256749</v>
      </c>
      <c r="I6" s="684">
        <f t="shared" ref="I6:L6" si="2">D32/D33</f>
        <v>49.243521076324946</v>
      </c>
      <c r="J6" s="684">
        <f t="shared" si="2"/>
        <v>31.43060798312036</v>
      </c>
      <c r="K6" s="684">
        <f t="shared" si="2"/>
        <v>26.881109220391938</v>
      </c>
      <c r="L6" s="685">
        <f t="shared" si="2"/>
        <v>15.101754010892691</v>
      </c>
      <c r="M6" s="64"/>
      <c r="N6" s="64"/>
      <c r="O6" s="686" t="s">
        <v>155</v>
      </c>
      <c r="P6" s="687">
        <f>(P5/P4)-1</f>
        <v>0.64366325722184481</v>
      </c>
    </row>
    <row r="7" spans="2:16" ht="17.25" thickBot="1">
      <c r="B7" s="43" t="s">
        <v>156</v>
      </c>
      <c r="C7" s="682">
        <f>'Operating Model'!AK62</f>
        <v>492603</v>
      </c>
      <c r="D7" s="682">
        <f>C7</f>
        <v>492603</v>
      </c>
      <c r="E7" s="236">
        <f>D7</f>
        <v>492603</v>
      </c>
      <c r="F7" s="64"/>
      <c r="G7" s="1"/>
      <c r="H7" s="64"/>
      <c r="I7" s="64"/>
      <c r="J7" s="64"/>
      <c r="K7" s="64"/>
      <c r="L7" s="64"/>
      <c r="M7" s="64"/>
      <c r="N7" s="64"/>
      <c r="O7" s="64"/>
    </row>
    <row r="8" spans="2:16" ht="17.25" thickBot="1">
      <c r="B8" s="43" t="s">
        <v>157</v>
      </c>
      <c r="C8" s="682">
        <f>'Operating Model'!AK79+'Operating Model'!AK89</f>
        <v>2424828</v>
      </c>
      <c r="D8" s="682">
        <f>C8</f>
        <v>2424828</v>
      </c>
      <c r="E8" s="236">
        <f>D8</f>
        <v>2424828</v>
      </c>
      <c r="F8" s="64"/>
      <c r="G8" s="666" t="s">
        <v>158</v>
      </c>
      <c r="H8" s="667" t="s">
        <v>139</v>
      </c>
      <c r="I8" s="667" t="s">
        <v>140</v>
      </c>
      <c r="J8" s="667" t="s">
        <v>141</v>
      </c>
      <c r="K8" s="668" t="s">
        <v>159</v>
      </c>
      <c r="L8" s="64"/>
      <c r="M8" s="64"/>
      <c r="N8" s="64"/>
      <c r="O8" s="759"/>
      <c r="P8" s="759"/>
    </row>
    <row r="9" spans="2:16" ht="16.5">
      <c r="B9" s="688" t="s">
        <v>160</v>
      </c>
      <c r="C9" s="682">
        <f>C6-C7+C8</f>
        <v>8380327.6699948302</v>
      </c>
      <c r="D9" s="682">
        <f>D6-D7+D8</f>
        <v>10799892.08553496</v>
      </c>
      <c r="E9" s="236">
        <f t="shared" ref="E9" si="3">E6-E7+E8</f>
        <v>12152508.598388907</v>
      </c>
      <c r="F9" s="64"/>
      <c r="G9" s="671" t="s">
        <v>138</v>
      </c>
      <c r="H9" s="689">
        <f>C11</f>
        <v>153.80416741598603</v>
      </c>
      <c r="I9" s="689">
        <f>D11</f>
        <v>198.21043708655202</v>
      </c>
      <c r="J9" s="689">
        <f>E11</f>
        <v>223.03501015634751</v>
      </c>
      <c r="K9" s="690">
        <v>0.33333333333333331</v>
      </c>
      <c r="L9" s="64"/>
      <c r="M9" s="64"/>
      <c r="N9" s="64"/>
      <c r="O9" s="64"/>
      <c r="P9" s="691"/>
    </row>
    <row r="10" spans="2:16" ht="17.25" thickBot="1">
      <c r="B10" s="50" t="s">
        <v>161</v>
      </c>
      <c r="C10" s="692">
        <f>'Operating Model'!AK44</f>
        <v>54487</v>
      </c>
      <c r="D10" s="682">
        <f>C10</f>
        <v>54487</v>
      </c>
      <c r="E10" s="236">
        <f>D10</f>
        <v>54487</v>
      </c>
      <c r="F10" s="64"/>
      <c r="G10" s="677" t="s">
        <v>151</v>
      </c>
      <c r="H10" s="691">
        <f>C21</f>
        <v>189.78317371460841</v>
      </c>
      <c r="I10" s="691">
        <f>D21</f>
        <v>224.65906718528888</v>
      </c>
      <c r="J10" s="691">
        <f>E21</f>
        <v>245.54904724145658</v>
      </c>
      <c r="K10" s="693">
        <v>0.33333333333333331</v>
      </c>
      <c r="L10" s="64"/>
      <c r="M10" s="64"/>
      <c r="N10" s="64"/>
      <c r="O10" s="64"/>
      <c r="P10" s="268"/>
    </row>
    <row r="11" spans="2:16" ht="17.25" thickBot="1">
      <c r="B11" s="694" t="s">
        <v>162</v>
      </c>
      <c r="C11" s="695">
        <f>C9/C10</f>
        <v>153.80416741598603</v>
      </c>
      <c r="D11" s="695">
        <f>D9/D10</f>
        <v>198.21043708655202</v>
      </c>
      <c r="E11" s="696">
        <f>E9/E10</f>
        <v>223.03501015634751</v>
      </c>
      <c r="F11" s="64"/>
      <c r="G11" s="683" t="s">
        <v>154</v>
      </c>
      <c r="H11" s="697">
        <f>C26</f>
        <v>203.13350771452014</v>
      </c>
      <c r="I11" s="697">
        <f>D26</f>
        <v>278.81034023616473</v>
      </c>
      <c r="J11" s="697">
        <f>E26</f>
        <v>372.12040196836563</v>
      </c>
      <c r="K11" s="698">
        <v>0.33333333333333331</v>
      </c>
      <c r="L11" s="64"/>
      <c r="M11" s="64"/>
      <c r="N11" s="64"/>
      <c r="O11" s="64"/>
      <c r="P11" s="64"/>
    </row>
    <row r="12" spans="2:16" ht="17.25" thickBot="1">
      <c r="B12" s="64"/>
      <c r="C12" s="64"/>
      <c r="D12" s="64"/>
      <c r="E12" s="64"/>
      <c r="F12" s="64"/>
      <c r="G12" s="64"/>
      <c r="H12" s="64"/>
      <c r="I12" s="64"/>
      <c r="J12" s="64"/>
      <c r="K12" s="64"/>
      <c r="L12" s="64"/>
      <c r="M12" s="64"/>
      <c r="N12" s="64"/>
      <c r="O12" s="64"/>
      <c r="P12" s="64"/>
    </row>
    <row r="13" spans="2:16" ht="17.25" thickBot="1">
      <c r="B13" s="666" t="s">
        <v>151</v>
      </c>
      <c r="C13" s="667" t="s">
        <v>139</v>
      </c>
      <c r="D13" s="667" t="s">
        <v>140</v>
      </c>
      <c r="E13" s="668" t="s">
        <v>141</v>
      </c>
      <c r="F13" s="64"/>
      <c r="G13" s="699"/>
      <c r="H13" s="64"/>
      <c r="I13" s="64"/>
      <c r="J13" s="64"/>
      <c r="K13" s="64"/>
      <c r="L13" s="64"/>
      <c r="M13" s="64"/>
      <c r="N13" s="64"/>
      <c r="O13" s="64"/>
      <c r="P13" s="64"/>
    </row>
    <row r="14" spans="2:16" ht="17.25" thickBot="1">
      <c r="B14" s="239" t="s">
        <v>86</v>
      </c>
      <c r="C14" s="700">
        <f>G30</f>
        <v>982341</v>
      </c>
      <c r="D14" s="700">
        <f>C14</f>
        <v>982341</v>
      </c>
      <c r="E14" s="701">
        <f>D14</f>
        <v>982341</v>
      </c>
      <c r="F14" s="64"/>
      <c r="G14" s="666" t="s">
        <v>163</v>
      </c>
      <c r="H14" s="667" t="s">
        <v>141</v>
      </c>
      <c r="I14" s="667" t="s">
        <v>140</v>
      </c>
      <c r="J14" s="668" t="s">
        <v>139</v>
      </c>
      <c r="K14" s="64"/>
      <c r="L14" s="64"/>
      <c r="M14" s="64"/>
      <c r="N14" s="268"/>
      <c r="O14" s="64"/>
      <c r="P14" s="64"/>
    </row>
    <row r="15" spans="2:16" ht="16.5">
      <c r="B15" s="43" t="s">
        <v>150</v>
      </c>
      <c r="C15" s="702">
        <f>MIN(H5:K5)</f>
        <v>8.5596455672601142</v>
      </c>
      <c r="D15" s="702">
        <f>MEDIAN(H5:K5)</f>
        <v>10.4940887061874</v>
      </c>
      <c r="E15" s="703">
        <f>MAX(H5:K5)</f>
        <v>11.652782421832383</v>
      </c>
      <c r="F15" s="64"/>
      <c r="G15" s="704" t="s">
        <v>162</v>
      </c>
      <c r="H15" s="705">
        <f>SUMPRODUCT(J9:J11,$K$9:$K$11)</f>
        <v>280.23481978872326</v>
      </c>
      <c r="I15" s="689">
        <f>SUMPRODUCT(I9:I11,$K$9:$K$11)</f>
        <v>233.89328150266854</v>
      </c>
      <c r="J15" s="706">
        <f>SUMPRODUCT(H9:H11,$K$9:$K$11)</f>
        <v>182.24028294837152</v>
      </c>
      <c r="K15" s="707">
        <f>J15</f>
        <v>182.24028294837152</v>
      </c>
      <c r="L15" s="64"/>
      <c r="M15" s="64"/>
      <c r="N15" s="64"/>
      <c r="O15" s="64"/>
      <c r="P15" s="64"/>
    </row>
    <row r="16" spans="2:16" ht="17.25" thickBot="1">
      <c r="B16" s="43" t="s">
        <v>153</v>
      </c>
      <c r="C16" s="708">
        <f>C14*C15</f>
        <v>8408490.7861878686</v>
      </c>
      <c r="D16" s="708">
        <f>D14*D15</f>
        <v>10308773.593724836</v>
      </c>
      <c r="E16" s="701">
        <f>E14*E15</f>
        <v>11447005.937045245</v>
      </c>
      <c r="F16" s="64"/>
      <c r="G16" s="709" t="s">
        <v>155</v>
      </c>
      <c r="H16" s="710">
        <f>H15/$P$4-1</f>
        <v>0.96932410252089407</v>
      </c>
      <c r="I16" s="711">
        <f>I15/$P$4-1</f>
        <v>0.64366325722184481</v>
      </c>
      <c r="J16" s="712">
        <f>J15/$P$4-1</f>
        <v>0.28067661945447298</v>
      </c>
      <c r="K16" s="64"/>
      <c r="L16" s="64"/>
      <c r="M16" s="64"/>
      <c r="N16" s="64"/>
      <c r="O16" s="64"/>
      <c r="P16" s="64"/>
    </row>
    <row r="17" spans="2:16" ht="16.5">
      <c r="B17" s="43" t="s">
        <v>156</v>
      </c>
      <c r="C17" s="708">
        <f>C7</f>
        <v>492603</v>
      </c>
      <c r="D17" s="708">
        <f>C17</f>
        <v>492603</v>
      </c>
      <c r="E17" s="701">
        <f>D17</f>
        <v>492603</v>
      </c>
      <c r="F17" s="64"/>
      <c r="G17" s="64"/>
      <c r="H17" s="64"/>
      <c r="I17" s="64"/>
      <c r="J17" s="64"/>
      <c r="K17" s="64"/>
      <c r="L17" s="64"/>
      <c r="M17" s="64"/>
      <c r="N17" s="64"/>
      <c r="O17" s="64"/>
      <c r="P17" s="64"/>
    </row>
    <row r="18" spans="2:16" ht="16.5">
      <c r="B18" s="43" t="s">
        <v>157</v>
      </c>
      <c r="C18" s="708">
        <f>C8</f>
        <v>2424828</v>
      </c>
      <c r="D18" s="708">
        <f>C18</f>
        <v>2424828</v>
      </c>
      <c r="E18" s="701">
        <f>D18</f>
        <v>2424828</v>
      </c>
      <c r="F18" s="64"/>
      <c r="G18" s="64"/>
      <c r="H18" s="64"/>
      <c r="I18" s="64"/>
      <c r="J18" s="64"/>
      <c r="K18" s="64"/>
      <c r="L18" s="64"/>
      <c r="M18" s="64"/>
      <c r="N18" s="64"/>
      <c r="O18" s="64"/>
      <c r="P18" s="64"/>
    </row>
    <row r="19" spans="2:16" ht="16.5">
      <c r="B19" s="43" t="s">
        <v>160</v>
      </c>
      <c r="C19" s="708">
        <f>C16-C17+C18</f>
        <v>10340715.786187869</v>
      </c>
      <c r="D19" s="708">
        <f>D16-D17+D18</f>
        <v>12240998.593724836</v>
      </c>
      <c r="E19" s="701">
        <f t="shared" ref="E19" si="4">E16-E17+E18</f>
        <v>13379230.937045245</v>
      </c>
      <c r="F19" s="64"/>
      <c r="G19" s="64"/>
      <c r="H19" s="64"/>
      <c r="I19" s="64"/>
      <c r="J19" s="64"/>
      <c r="K19" s="64"/>
      <c r="L19" s="64"/>
      <c r="M19" s="64"/>
      <c r="N19" s="64"/>
      <c r="O19" s="64"/>
      <c r="P19" s="64"/>
    </row>
    <row r="20" spans="2:16" ht="17.25" thickBot="1">
      <c r="B20" s="50" t="s">
        <v>161</v>
      </c>
      <c r="C20" s="713">
        <f>C10</f>
        <v>54487</v>
      </c>
      <c r="D20" s="708">
        <f>C20</f>
        <v>54487</v>
      </c>
      <c r="E20" s="701">
        <f>D20</f>
        <v>54487</v>
      </c>
      <c r="F20" s="64"/>
      <c r="G20" s="64"/>
      <c r="H20" s="64"/>
      <c r="I20" s="64"/>
      <c r="J20" s="64"/>
      <c r="K20" s="64"/>
      <c r="L20" s="64"/>
      <c r="M20" s="64"/>
      <c r="N20" s="64"/>
      <c r="O20" s="64"/>
      <c r="P20" s="64"/>
    </row>
    <row r="21" spans="2:16" ht="17.25" thickBot="1">
      <c r="B21" s="694" t="s">
        <v>162</v>
      </c>
      <c r="C21" s="695">
        <f>C19/C20</f>
        <v>189.78317371460841</v>
      </c>
      <c r="D21" s="695">
        <f>D19/D20</f>
        <v>224.65906718528888</v>
      </c>
      <c r="E21" s="696">
        <f>E19/E20</f>
        <v>245.54904724145658</v>
      </c>
      <c r="F21" s="64"/>
      <c r="G21" s="714"/>
      <c r="H21" s="64"/>
      <c r="I21" s="64"/>
      <c r="J21" s="64"/>
      <c r="K21" s="64"/>
      <c r="L21" s="64"/>
      <c r="M21" s="64"/>
      <c r="N21" s="64"/>
      <c r="O21" s="64"/>
      <c r="P21" s="64"/>
    </row>
    <row r="22" spans="2:16" ht="17.25" thickBot="1">
      <c r="B22" s="64"/>
      <c r="C22" s="64"/>
      <c r="D22" s="64"/>
      <c r="E22" s="64"/>
      <c r="F22" s="64"/>
      <c r="G22" s="64"/>
      <c r="H22" s="64"/>
      <c r="I22" s="64"/>
      <c r="J22" s="64"/>
      <c r="K22" s="64"/>
      <c r="L22" s="64"/>
      <c r="M22" s="64"/>
      <c r="N22" s="64"/>
      <c r="O22" s="64"/>
      <c r="P22" s="64"/>
    </row>
    <row r="23" spans="2:16" ht="17.25" thickBot="1">
      <c r="B23" s="669" t="s">
        <v>154</v>
      </c>
      <c r="C23" s="667" t="s">
        <v>139</v>
      </c>
      <c r="D23" s="667" t="s">
        <v>140</v>
      </c>
      <c r="E23" s="668" t="s">
        <v>141</v>
      </c>
      <c r="F23" s="64"/>
      <c r="G23" s="64"/>
      <c r="H23" s="64"/>
      <c r="I23" s="64"/>
      <c r="J23" s="64"/>
      <c r="K23" s="64"/>
      <c r="L23" s="64"/>
      <c r="M23" s="64"/>
      <c r="N23" s="64"/>
      <c r="O23" s="64"/>
      <c r="P23" s="64"/>
    </row>
    <row r="24" spans="2:16" ht="16.5">
      <c r="B24" s="239" t="s">
        <v>164</v>
      </c>
      <c r="C24" s="715">
        <f>G33</f>
        <v>7.5567383045497092</v>
      </c>
      <c r="D24" s="715">
        <f>C24</f>
        <v>7.5567383045497092</v>
      </c>
      <c r="E24" s="716">
        <f>D24</f>
        <v>7.5567383045497092</v>
      </c>
      <c r="F24" s="64"/>
      <c r="G24" s="64"/>
      <c r="H24" s="64"/>
      <c r="I24" s="64"/>
      <c r="J24" s="64"/>
      <c r="K24" s="64"/>
      <c r="L24" s="64"/>
      <c r="M24" s="64"/>
      <c r="N24" s="64"/>
      <c r="O24" s="64"/>
      <c r="P24" s="64"/>
    </row>
    <row r="25" spans="2:16" ht="17.25" thickBot="1">
      <c r="B25" s="50" t="s">
        <v>150</v>
      </c>
      <c r="C25" s="717">
        <f>MIN(H6:K6)</f>
        <v>26.881109220391938</v>
      </c>
      <c r="D25" s="717">
        <f>MEDIAN(H6:K6)</f>
        <v>36.895592913188551</v>
      </c>
      <c r="E25" s="718">
        <f>MAX(H6:K6)</f>
        <v>49.243521076324946</v>
      </c>
      <c r="F25" s="64"/>
      <c r="G25" s="64"/>
      <c r="H25" s="64"/>
      <c r="I25" s="64"/>
      <c r="J25" s="64"/>
      <c r="K25" s="64"/>
      <c r="L25" s="64"/>
      <c r="M25" s="64"/>
      <c r="N25" s="64"/>
      <c r="O25" s="64"/>
      <c r="P25" s="64"/>
    </row>
    <row r="26" spans="2:16" ht="17.25" thickBot="1">
      <c r="B26" s="694" t="s">
        <v>162</v>
      </c>
      <c r="C26" s="695">
        <f>C24*C25</f>
        <v>203.13350771452014</v>
      </c>
      <c r="D26" s="695">
        <f>D24*D25</f>
        <v>278.81034023616473</v>
      </c>
      <c r="E26" s="696">
        <f>E24*E25</f>
        <v>372.12040196836563</v>
      </c>
      <c r="F26" s="64"/>
      <c r="G26" s="64"/>
      <c r="H26" s="64"/>
      <c r="I26" s="64"/>
      <c r="J26" s="64"/>
      <c r="K26" s="64"/>
      <c r="L26" s="64"/>
      <c r="M26" s="64"/>
      <c r="N26" s="64"/>
      <c r="O26" s="64"/>
      <c r="P26" s="64"/>
    </row>
    <row r="27" spans="2:16" ht="17.25" thickBot="1">
      <c r="B27" s="64"/>
      <c r="C27" s="64"/>
      <c r="D27" s="64"/>
      <c r="E27" s="64"/>
      <c r="F27" s="64"/>
      <c r="G27" s="64"/>
      <c r="H27" s="64"/>
      <c r="I27" s="64"/>
      <c r="J27" s="64"/>
      <c r="K27" s="64"/>
      <c r="L27" s="64"/>
      <c r="M27" s="64"/>
      <c r="N27" s="64"/>
      <c r="O27" s="64"/>
      <c r="P27" s="64"/>
    </row>
    <row r="28" spans="2:16" ht="17.25" thickBot="1">
      <c r="B28" s="666" t="s">
        <v>165</v>
      </c>
      <c r="C28" s="667" t="s">
        <v>166</v>
      </c>
      <c r="D28" s="667" t="s">
        <v>143</v>
      </c>
      <c r="E28" s="667" t="s">
        <v>144</v>
      </c>
      <c r="F28" s="667" t="s">
        <v>145</v>
      </c>
      <c r="G28" s="668" t="s">
        <v>146</v>
      </c>
      <c r="H28" s="64"/>
      <c r="I28" s="64"/>
      <c r="J28" s="64"/>
      <c r="K28" s="64"/>
      <c r="L28" s="64"/>
      <c r="M28" s="64"/>
      <c r="N28" s="64"/>
      <c r="O28" s="64"/>
    </row>
    <row r="29" spans="2:16" ht="16.5">
      <c r="B29" s="239" t="s">
        <v>167</v>
      </c>
      <c r="C29" s="40">
        <f>'Operating Model'!M23</f>
        <v>3300303</v>
      </c>
      <c r="D29" s="40">
        <f>'Operating Model'!S23</f>
        <v>3412190</v>
      </c>
      <c r="E29" s="40">
        <f>'Operating Model'!Y23</f>
        <v>3144097</v>
      </c>
      <c r="F29" s="40">
        <f>'Operating Model'!AE23</f>
        <v>3805566</v>
      </c>
      <c r="G29" s="65">
        <f>'Operating Model'!AK23</f>
        <v>5166605</v>
      </c>
      <c r="H29" s="64"/>
      <c r="I29" s="64"/>
      <c r="J29" s="64"/>
      <c r="K29" s="64"/>
      <c r="L29" s="64"/>
      <c r="M29" s="64"/>
      <c r="N29" s="64"/>
      <c r="O29" s="64"/>
    </row>
    <row r="30" spans="2:16" ht="16.5">
      <c r="B30" s="43" t="s">
        <v>168</v>
      </c>
      <c r="C30" s="719">
        <f>'Operating Model'!M29</f>
        <v>481199</v>
      </c>
      <c r="D30" s="719">
        <f>'Operating Model'!S29</f>
        <v>530181</v>
      </c>
      <c r="E30" s="719">
        <f>'Operating Model'!Y29</f>
        <v>544251</v>
      </c>
      <c r="F30" s="719">
        <f>'Operating Model'!AE29</f>
        <v>646022</v>
      </c>
      <c r="G30" s="720">
        <f>'Operating Model'!AK29</f>
        <v>982341</v>
      </c>
      <c r="H30" s="64"/>
      <c r="I30" s="64"/>
      <c r="J30" s="64"/>
      <c r="K30" s="64"/>
      <c r="L30" s="64"/>
      <c r="M30" s="64"/>
      <c r="N30" s="64"/>
      <c r="O30" s="64"/>
    </row>
    <row r="31" spans="2:16" ht="16.5">
      <c r="B31" s="43" t="s">
        <v>169</v>
      </c>
      <c r="C31" s="719">
        <f>('Operating Model'!M44*C32)+'Operating Model'!M89-'Operating Model'!M62</f>
        <v>4118892.8873199997</v>
      </c>
      <c r="D31" s="719">
        <f>('Operating Model'!S44*D32)+'Operating Model'!S89-'Operating Model'!S62</f>
        <v>5995186.75</v>
      </c>
      <c r="E31" s="719">
        <f>('Operating Model'!Y44*E32)+'Operating Model'!Y89-'Operating Model'!Y62</f>
        <v>5268548.8886200003</v>
      </c>
      <c r="F31" s="719">
        <f>('Operating Model'!AE44*F32)+'Operating Model'!AE89-'Operating Model'!AE62</f>
        <v>7527953.8057169998</v>
      </c>
      <c r="G31" s="720">
        <f>('Operating Model'!AK44*G32)+'Operating Model'!AK89-'Operating Model'!AK62</f>
        <v>8140281.6034610011</v>
      </c>
      <c r="H31" s="64"/>
      <c r="I31" s="64"/>
      <c r="J31" s="64"/>
      <c r="K31" s="64"/>
      <c r="L31" s="64"/>
      <c r="M31" s="64"/>
      <c r="N31" s="64"/>
      <c r="O31" s="64"/>
    </row>
    <row r="32" spans="2:16" ht="16.5">
      <c r="B32" s="43" t="s">
        <v>170</v>
      </c>
      <c r="C32" s="721">
        <f>Beta!C197</f>
        <v>49.349997999999999</v>
      </c>
      <c r="D32" s="721">
        <f>Beta!C449</f>
        <v>85.75</v>
      </c>
      <c r="E32" s="721">
        <f>Beta!C702</f>
        <v>76.099997999999999</v>
      </c>
      <c r="F32" s="721">
        <f>Beta!C954</f>
        <v>99.769997000000004</v>
      </c>
      <c r="G32" s="722">
        <f>Beta!C1205</f>
        <v>114.120003</v>
      </c>
      <c r="H32" s="64"/>
      <c r="I32" s="64"/>
      <c r="J32" s="64"/>
      <c r="K32" s="64"/>
      <c r="L32" s="64"/>
      <c r="M32" s="64"/>
      <c r="N32" s="64"/>
      <c r="O32" s="64"/>
    </row>
    <row r="33" spans="2:15" ht="17.25" thickBot="1">
      <c r="B33" s="50" t="s">
        <v>164</v>
      </c>
      <c r="C33" s="41">
        <f>'Operating Model'!M42</f>
        <v>1.1649982250621229</v>
      </c>
      <c r="D33" s="41">
        <f>'Operating Model'!S42</f>
        <v>1.7413458283596714</v>
      </c>
      <c r="E33" s="41">
        <f>'Operating Model'!Y42</f>
        <v>2.4212066798347998</v>
      </c>
      <c r="F33" s="41">
        <f>'Operating Model'!AE42</f>
        <v>3.7115282774237142</v>
      </c>
      <c r="G33" s="42">
        <f>'Operating Model'!AK42</f>
        <v>7.5567383045497092</v>
      </c>
      <c r="H33" s="64"/>
      <c r="I33" s="64"/>
      <c r="J33" s="64"/>
      <c r="K33" s="64"/>
      <c r="L33" s="64"/>
      <c r="M33" s="64"/>
      <c r="N33" s="64"/>
      <c r="O33" s="64"/>
    </row>
  </sheetData>
  <mergeCells count="2">
    <mergeCell ref="O3:P3"/>
    <mergeCell ref="O8:P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80862-0932-4EAD-9304-670B085A075C}">
  <dimension ref="A1:AF43"/>
  <sheetViews>
    <sheetView zoomScaleNormal="100" workbookViewId="0"/>
  </sheetViews>
  <sheetFormatPr defaultColWidth="9.140625" defaultRowHeight="15"/>
  <cols>
    <col min="1" max="1" width="2.42578125" style="231" customWidth="1"/>
    <col min="2" max="2" width="39.42578125" style="231" bestFit="1" customWidth="1"/>
    <col min="3" max="3" width="12.7109375" style="231" bestFit="1" customWidth="1"/>
    <col min="4" max="6" width="10.5703125" style="231" bestFit="1" customWidth="1"/>
    <col min="7" max="7" width="14.7109375" style="231" bestFit="1" customWidth="1"/>
    <col min="8" max="8" width="9.140625" style="231"/>
    <col min="9" max="9" width="10.5703125" style="231" bestFit="1" customWidth="1"/>
    <col min="10" max="10" width="10.140625" style="231" bestFit="1" customWidth="1"/>
    <col min="11" max="12" width="10.5703125" style="231" bestFit="1" customWidth="1"/>
    <col min="13" max="13" width="9.140625" style="231"/>
    <col min="14" max="16" width="10.5703125" style="231" bestFit="1" customWidth="1"/>
    <col min="17" max="17" width="10.140625" style="231" bestFit="1" customWidth="1"/>
    <col min="18" max="18" width="9.140625" style="231"/>
    <col min="19" max="19" width="10.5703125" style="231" bestFit="1" customWidth="1"/>
    <col min="20" max="21" width="10.140625" style="231" bestFit="1" customWidth="1"/>
    <col min="22" max="22" width="10.5703125" style="231" bestFit="1" customWidth="1"/>
    <col min="23" max="23" width="9.140625" style="231"/>
    <col min="24" max="27" width="10.5703125" style="231" bestFit="1" customWidth="1"/>
    <col min="28" max="28" width="9.140625" style="231"/>
    <col min="29" max="29" width="9.85546875" style="231" bestFit="1" customWidth="1"/>
    <col min="30" max="31" width="10.5703125" style="231" bestFit="1" customWidth="1"/>
    <col min="32" max="32" width="10.140625" style="231" bestFit="1" customWidth="1"/>
    <col min="33" max="16384" width="9.140625" style="231"/>
  </cols>
  <sheetData>
    <row r="1" spans="1:32" ht="10.5" customHeight="1" thickBot="1">
      <c r="A1" s="64"/>
      <c r="B1" s="64"/>
      <c r="C1" s="64"/>
      <c r="D1" s="64"/>
      <c r="E1" s="64"/>
      <c r="F1" s="64"/>
      <c r="G1" s="64"/>
      <c r="H1" s="64"/>
      <c r="I1" s="64"/>
      <c r="J1" s="64"/>
      <c r="K1" s="64"/>
      <c r="L1" s="64"/>
      <c r="M1" s="64"/>
      <c r="N1" s="64"/>
      <c r="O1" s="64"/>
      <c r="P1" s="64"/>
      <c r="Q1" s="64"/>
      <c r="R1" s="64"/>
      <c r="S1" s="64"/>
      <c r="T1" s="64"/>
      <c r="U1" s="64"/>
      <c r="V1" s="64"/>
    </row>
    <row r="2" spans="1:32" ht="17.25" thickBot="1">
      <c r="A2" s="64"/>
      <c r="B2" s="276" t="s">
        <v>345</v>
      </c>
      <c r="C2" s="277"/>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9"/>
    </row>
    <row r="3" spans="1:32" ht="17.25" thickBot="1">
      <c r="A3" s="64"/>
      <c r="B3" s="64"/>
      <c r="C3" s="64"/>
      <c r="D3" s="64"/>
      <c r="E3" s="64"/>
      <c r="F3" s="64"/>
      <c r="G3" s="64"/>
      <c r="H3" s="64"/>
      <c r="I3" s="64"/>
      <c r="J3" s="64"/>
      <c r="K3" s="64"/>
      <c r="L3" s="64"/>
      <c r="M3" s="64"/>
      <c r="N3" s="64"/>
      <c r="O3" s="64"/>
      <c r="P3" s="64"/>
      <c r="Q3" s="64"/>
      <c r="R3" s="64"/>
      <c r="S3" s="64"/>
      <c r="T3" s="64"/>
      <c r="U3" s="64"/>
      <c r="V3" s="64"/>
    </row>
    <row r="4" spans="1:32" ht="17.25" thickBot="1">
      <c r="A4" s="64"/>
      <c r="B4" s="275" t="s">
        <v>344</v>
      </c>
      <c r="C4" s="1"/>
      <c r="D4" s="274">
        <v>2022</v>
      </c>
      <c r="E4" s="273"/>
      <c r="F4" s="273"/>
      <c r="G4" s="272"/>
      <c r="H4" s="64"/>
      <c r="I4" s="274">
        <v>2023</v>
      </c>
      <c r="J4" s="273"/>
      <c r="K4" s="273"/>
      <c r="L4" s="272"/>
      <c r="M4" s="1"/>
      <c r="N4" s="274">
        <v>2024</v>
      </c>
      <c r="O4" s="273"/>
      <c r="P4" s="273"/>
      <c r="Q4" s="272"/>
      <c r="R4" s="64"/>
      <c r="S4" s="274">
        <v>2025</v>
      </c>
      <c r="T4" s="273"/>
      <c r="U4" s="273"/>
      <c r="V4" s="272"/>
      <c r="X4" s="274">
        <v>2026</v>
      </c>
      <c r="Y4" s="273"/>
      <c r="Z4" s="273"/>
      <c r="AA4" s="272"/>
      <c r="AC4" s="274">
        <v>2027</v>
      </c>
      <c r="AD4" s="273"/>
      <c r="AE4" s="273"/>
      <c r="AF4" s="272"/>
    </row>
    <row r="5" spans="1:32" ht="16.5">
      <c r="A5" s="64"/>
      <c r="B5" s="271" t="s">
        <v>343</v>
      </c>
      <c r="C5" s="64"/>
      <c r="D5" s="243" t="s">
        <v>342</v>
      </c>
      <c r="E5" s="270" t="s">
        <v>341</v>
      </c>
      <c r="F5" s="270" t="s">
        <v>340</v>
      </c>
      <c r="G5" s="269" t="s">
        <v>339</v>
      </c>
      <c r="H5" s="268"/>
      <c r="I5" s="267" t="s">
        <v>342</v>
      </c>
      <c r="J5" s="266" t="s">
        <v>341</v>
      </c>
      <c r="K5" s="266" t="s">
        <v>340</v>
      </c>
      <c r="L5" s="265" t="s">
        <v>339</v>
      </c>
      <c r="M5" s="268"/>
      <c r="N5" s="267" t="s">
        <v>342</v>
      </c>
      <c r="O5" s="266" t="s">
        <v>341</v>
      </c>
      <c r="P5" s="266" t="s">
        <v>340</v>
      </c>
      <c r="Q5" s="265" t="s">
        <v>339</v>
      </c>
      <c r="R5" s="268"/>
      <c r="S5" s="267" t="s">
        <v>342</v>
      </c>
      <c r="T5" s="266" t="s">
        <v>341</v>
      </c>
      <c r="U5" s="266" t="s">
        <v>340</v>
      </c>
      <c r="V5" s="265" t="s">
        <v>339</v>
      </c>
      <c r="X5" s="267" t="s">
        <v>342</v>
      </c>
      <c r="Y5" s="266" t="s">
        <v>341</v>
      </c>
      <c r="Z5" s="266" t="s">
        <v>340</v>
      </c>
      <c r="AA5" s="265" t="s">
        <v>339</v>
      </c>
      <c r="AC5" s="267" t="s">
        <v>342</v>
      </c>
      <c r="AD5" s="266" t="s">
        <v>341</v>
      </c>
      <c r="AE5" s="266" t="s">
        <v>340</v>
      </c>
      <c r="AF5" s="265" t="s">
        <v>339</v>
      </c>
    </row>
    <row r="6" spans="1:32" ht="16.5">
      <c r="A6" s="64"/>
      <c r="B6" s="259" t="s">
        <v>338</v>
      </c>
      <c r="C6" s="64" t="s">
        <v>337</v>
      </c>
      <c r="D6" s="264">
        <f>'Operating Model'!AG121</f>
        <v>-3694</v>
      </c>
      <c r="E6" s="263">
        <f>'Operating Model'!AH121</f>
        <v>-30000</v>
      </c>
      <c r="F6" s="263">
        <f>'Operating Model'!AI121</f>
        <v>-10488</v>
      </c>
      <c r="G6" s="262">
        <f>'Operating Model'!AJ121</f>
        <v>-6001</v>
      </c>
      <c r="H6" s="249"/>
      <c r="I6" s="256">
        <f>-$C$21</f>
        <v>-33000</v>
      </c>
      <c r="J6" s="255">
        <f>-$C$21</f>
        <v>-33000</v>
      </c>
      <c r="K6" s="255">
        <f>-$C$21</f>
        <v>-33000</v>
      </c>
      <c r="L6" s="255">
        <f>-$C$21</f>
        <v>-33000</v>
      </c>
      <c r="M6" s="261"/>
      <c r="N6" s="255">
        <f>-$C$21</f>
        <v>-33000</v>
      </c>
      <c r="O6" s="255">
        <f>-$C$21</f>
        <v>-33000</v>
      </c>
      <c r="P6" s="255">
        <f>-$C$21</f>
        <v>-33000</v>
      </c>
      <c r="Q6" s="255">
        <f>-$C$21</f>
        <v>-33000</v>
      </c>
      <c r="R6" s="261"/>
      <c r="S6" s="256">
        <f>-$C$21</f>
        <v>-33000</v>
      </c>
      <c r="T6" s="255">
        <f>-$C$21</f>
        <v>-33000</v>
      </c>
      <c r="U6" s="255">
        <f>-$C$21</f>
        <v>-33000</v>
      </c>
      <c r="V6" s="254">
        <f>-$C$21</f>
        <v>-33000</v>
      </c>
      <c r="X6" s="256">
        <f>-$C$21</f>
        <v>-33000</v>
      </c>
      <c r="Y6" s="255">
        <f>-$C$21</f>
        <v>-33000</v>
      </c>
      <c r="Z6" s="255">
        <f>-$C$21</f>
        <v>-33000</v>
      </c>
      <c r="AA6" s="254">
        <f>-$C$21</f>
        <v>-33000</v>
      </c>
      <c r="AC6" s="256">
        <f>-$C$21</f>
        <v>-33000</v>
      </c>
      <c r="AD6" s="255">
        <f>-$C$21</f>
        <v>-33000</v>
      </c>
      <c r="AE6" s="255">
        <f>-$C$21</f>
        <v>-33000</v>
      </c>
      <c r="AF6" s="254">
        <f>-$C$21</f>
        <v>-33000</v>
      </c>
    </row>
    <row r="7" spans="1:32" ht="16.5">
      <c r="A7" s="64"/>
      <c r="B7" s="259" t="s">
        <v>336</v>
      </c>
      <c r="C7" s="64"/>
      <c r="D7" s="258">
        <f>-D6/D8</f>
        <v>37.416823113948965</v>
      </c>
      <c r="E7" s="249">
        <f>-E6/E8</f>
        <v>310.90265549399658</v>
      </c>
      <c r="F7" s="249">
        <f>-F6/F8</f>
        <v>97.943174540724243</v>
      </c>
      <c r="G7" s="257">
        <f>-G6/G8</f>
        <v>51.366348274363936</v>
      </c>
      <c r="H7" s="249"/>
      <c r="I7" s="256">
        <f>-I6/I8</f>
        <v>227.13316510932779</v>
      </c>
      <c r="J7" s="255">
        <f>-J6/J8</f>
        <v>222.46006814406974</v>
      </c>
      <c r="K7" s="255">
        <f>-K6/K8</f>
        <v>217.88311669431221</v>
      </c>
      <c r="L7" s="254">
        <f>-L6/L8</f>
        <v>213.40033263714878</v>
      </c>
      <c r="M7" s="249"/>
      <c r="N7" s="256">
        <f>-N6/N8</f>
        <v>209.00977854808954</v>
      </c>
      <c r="O7" s="260">
        <f>-O6/O8</f>
        <v>204.70955686372119</v>
      </c>
      <c r="P7" s="255">
        <f>-P6/P8</f>
        <v>200.49780906159501</v>
      </c>
      <c r="Q7" s="254">
        <f>-Q6/Q8</f>
        <v>196.37271485698756</v>
      </c>
      <c r="R7" s="249"/>
      <c r="S7" s="256">
        <f>-S6/S8</f>
        <v>192.33249141618811</v>
      </c>
      <c r="T7" s="255">
        <f>-T6/T8</f>
        <v>188.3753925859715</v>
      </c>
      <c r="U7" s="255">
        <f>-U6/U8</f>
        <v>184.49970813892438</v>
      </c>
      <c r="V7" s="254">
        <f>-V6/V8</f>
        <v>180.70376303429819</v>
      </c>
      <c r="X7" s="256">
        <f>-X6/X8</f>
        <v>176.9859166940694</v>
      </c>
      <c r="Y7" s="255">
        <f>-Y6/Y8</f>
        <v>173.34456229389463</v>
      </c>
      <c r="Z7" s="255">
        <f>-Z6/Z8</f>
        <v>169.77812606865345</v>
      </c>
      <c r="AA7" s="254">
        <f>-AA6/AA8</f>
        <v>166.28506663227947</v>
      </c>
      <c r="AC7" s="256">
        <f>-AC6/AC8</f>
        <v>162.86387431158508</v>
      </c>
      <c r="AD7" s="255">
        <f>-AD6/AD8</f>
        <v>159.5130704937925</v>
      </c>
      <c r="AE7" s="255">
        <f>-AE6/AE8</f>
        <v>156.23120698748889</v>
      </c>
      <c r="AF7" s="254">
        <f>-AF6/AF8</f>
        <v>153.016865396729</v>
      </c>
    </row>
    <row r="8" spans="1:32" ht="16.5">
      <c r="A8" s="64"/>
      <c r="B8" s="259" t="s">
        <v>335</v>
      </c>
      <c r="C8" s="64"/>
      <c r="D8" s="258">
        <f>AVERAGE(Beta!C955:C1016)</f>
        <v>98.725645112903223</v>
      </c>
      <c r="E8" s="249">
        <f>AVERAGE(Beta!C1017:C1078)</f>
        <v>96.493225354838728</v>
      </c>
      <c r="F8" s="249">
        <f>AVERAGE(Beta!C1079:C1142)</f>
        <v>107.082500125</v>
      </c>
      <c r="G8" s="257">
        <f>AVERAGE(Beta!C1143:C1205)</f>
        <v>116.82746003174604</v>
      </c>
      <c r="H8" s="249"/>
      <c r="I8" s="256">
        <f>Tear!H12*(1+$C$23)</f>
        <v>145.28921826152447</v>
      </c>
      <c r="J8" s="255">
        <f>I8*(1+$C$23)</f>
        <v>148.34122939595846</v>
      </c>
      <c r="K8" s="255">
        <f>J8*(1+$C$23)</f>
        <v>151.45735245883537</v>
      </c>
      <c r="L8" s="254">
        <f>K8*(1+$C$23)</f>
        <v>154.6389342143666</v>
      </c>
      <c r="M8" s="249"/>
      <c r="N8" s="256">
        <f>L8*(1+$C$23)</f>
        <v>157.88734971750267</v>
      </c>
      <c r="O8" s="255">
        <f>N8*(1+$C$23)</f>
        <v>161.20400290822127</v>
      </c>
      <c r="P8" s="255">
        <f>O8*(1+$C$23)</f>
        <v>164.59032721829922</v>
      </c>
      <c r="Q8" s="254">
        <f>P8*(1+$C$23)</f>
        <v>168.04778619083066</v>
      </c>
      <c r="R8" s="249"/>
      <c r="S8" s="256">
        <f>Q8*(1+$C$23)</f>
        <v>171.57787411275888</v>
      </c>
      <c r="T8" s="255">
        <f>S8*(1+$C$23)</f>
        <v>175.18211666069564</v>
      </c>
      <c r="U8" s="255">
        <f>T8*(1+$C$23)</f>
        <v>178.86207156030673</v>
      </c>
      <c r="V8" s="254">
        <f>U8*(1+$C$23)</f>
        <v>182.61932925954889</v>
      </c>
      <c r="X8" s="256">
        <f>V8*(1+$C$23)</f>
        <v>186.45551361604916</v>
      </c>
      <c r="Y8" s="255">
        <f>X8*(1+$C$23)</f>
        <v>190.37228259892348</v>
      </c>
      <c r="Z8" s="255">
        <f>Y8*(1+$C$23)</f>
        <v>194.37132900533805</v>
      </c>
      <c r="AA8" s="254">
        <f>Z8*(1+$C$23)</f>
        <v>198.45438119212324</v>
      </c>
      <c r="AC8" s="256">
        <f>AA8*(1+$C$23)</f>
        <v>202.6232038227559</v>
      </c>
      <c r="AD8" s="255">
        <f>AC8*(1+$C$23)</f>
        <v>206.87959863003329</v>
      </c>
      <c r="AE8" s="255">
        <f>AD8*(1+$C$23)</f>
        <v>211.22540519476794</v>
      </c>
      <c r="AF8" s="254">
        <f>AE8*(1+$C$23)</f>
        <v>215.66250174084033</v>
      </c>
    </row>
    <row r="9" spans="1:32" ht="17.25" thickBot="1">
      <c r="A9" s="64"/>
      <c r="B9" s="253" t="s">
        <v>334</v>
      </c>
      <c r="C9" s="64"/>
      <c r="D9" s="252">
        <f>'Operating Model'!AE44</f>
        <v>54761</v>
      </c>
      <c r="E9" s="251">
        <f>'Operating Model'!AG44</f>
        <v>54672</v>
      </c>
      <c r="F9" s="251">
        <f>'Operating Model'!AH44</f>
        <v>54597</v>
      </c>
      <c r="G9" s="250">
        <f>'Operating Model'!AJ44</f>
        <v>54387</v>
      </c>
      <c r="H9" s="168"/>
      <c r="I9" s="248">
        <f>G9-I7</f>
        <v>54159.866834890672</v>
      </c>
      <c r="J9" s="247">
        <f>I9-J7</f>
        <v>53937.406766746601</v>
      </c>
      <c r="K9" s="247">
        <f>J9-K7</f>
        <v>53719.523650052288</v>
      </c>
      <c r="L9" s="246">
        <f>K9-L7</f>
        <v>53506.123317415142</v>
      </c>
      <c r="M9" s="249"/>
      <c r="N9" s="248">
        <f>L9-N7</f>
        <v>53297.113538867052</v>
      </c>
      <c r="O9" s="247">
        <f>N9-O7</f>
        <v>53092.403982003329</v>
      </c>
      <c r="P9" s="247">
        <f>O9-P7</f>
        <v>52891.906172941737</v>
      </c>
      <c r="Q9" s="246">
        <f>P9-Q7</f>
        <v>52695.533458084748</v>
      </c>
      <c r="R9" s="249"/>
      <c r="S9" s="248">
        <f>Q9-S7</f>
        <v>52503.200966668563</v>
      </c>
      <c r="T9" s="247">
        <f>S9-T7</f>
        <v>52314.825574082592</v>
      </c>
      <c r="U9" s="247">
        <f>T9-U7</f>
        <v>52130.325865943669</v>
      </c>
      <c r="V9" s="246">
        <f>U9-V7</f>
        <v>51949.622102909372</v>
      </c>
      <c r="X9" s="248">
        <f>V9-X7</f>
        <v>51772.636186215306</v>
      </c>
      <c r="Y9" s="247">
        <f>X9-Y7</f>
        <v>51599.29162392141</v>
      </c>
      <c r="Z9" s="247">
        <f>Y9-Z7</f>
        <v>51429.513497852757</v>
      </c>
      <c r="AA9" s="246">
        <f>Z9-AA7</f>
        <v>51263.228431220479</v>
      </c>
      <c r="AC9" s="248">
        <f>AA9-AC7</f>
        <v>51100.364556908891</v>
      </c>
      <c r="AD9" s="247">
        <f>AC9-AD7</f>
        <v>50940.8514864151</v>
      </c>
      <c r="AE9" s="247">
        <f>AD9-AE7</f>
        <v>50784.620279427611</v>
      </c>
      <c r="AF9" s="246">
        <f>AE9-AF7</f>
        <v>50631.603414030884</v>
      </c>
    </row>
    <row r="10" spans="1:32" ht="17.25" thickBot="1">
      <c r="A10" s="64"/>
      <c r="B10" s="1"/>
      <c r="C10" s="64"/>
      <c r="D10" s="64"/>
      <c r="E10" s="64"/>
      <c r="F10" s="1"/>
      <c r="G10" s="245">
        <v>1423.1560442977661</v>
      </c>
      <c r="H10" s="64"/>
      <c r="I10" s="64"/>
      <c r="J10" s="64"/>
      <c r="K10" s="64"/>
      <c r="L10" s="64"/>
      <c r="M10" s="64"/>
      <c r="N10" s="64"/>
      <c r="O10" s="64"/>
      <c r="P10" s="64"/>
      <c r="Q10" s="64"/>
      <c r="R10" s="64"/>
      <c r="S10" s="64"/>
      <c r="T10" s="64"/>
      <c r="U10" s="64"/>
      <c r="V10" s="64"/>
    </row>
    <row r="11" spans="1:32" ht="17.25" thickBot="1">
      <c r="A11" s="64"/>
      <c r="B11" s="241" t="s">
        <v>333</v>
      </c>
      <c r="C11" s="244"/>
      <c r="D11" s="244"/>
      <c r="E11" s="244"/>
      <c r="F11" s="240"/>
      <c r="G11" s="64"/>
      <c r="H11" s="64"/>
      <c r="I11" s="64"/>
      <c r="J11" s="64"/>
      <c r="K11" s="64"/>
      <c r="L11" s="64"/>
      <c r="M11" s="64"/>
      <c r="N11" s="64"/>
      <c r="O11" s="64"/>
      <c r="P11" s="64"/>
      <c r="Q11" s="64"/>
      <c r="R11" s="64"/>
      <c r="S11" s="64"/>
      <c r="T11" s="64"/>
      <c r="U11" s="64"/>
      <c r="V11" s="64"/>
    </row>
    <row r="12" spans="1:32" ht="16.5">
      <c r="A12" s="64"/>
      <c r="B12" s="243" t="s">
        <v>332</v>
      </c>
      <c r="C12" s="760" t="s">
        <v>346</v>
      </c>
      <c r="D12" s="760"/>
      <c r="E12" s="760"/>
      <c r="F12" s="761"/>
      <c r="G12" s="64"/>
      <c r="H12" s="64"/>
      <c r="I12" s="64"/>
      <c r="J12" s="64"/>
      <c r="K12" s="64"/>
      <c r="L12" s="64"/>
      <c r="M12" s="64"/>
      <c r="N12" s="64"/>
      <c r="O12" s="64"/>
      <c r="P12" s="64"/>
      <c r="Q12" s="64"/>
      <c r="R12" s="64"/>
      <c r="S12" s="64"/>
      <c r="T12" s="64"/>
      <c r="U12" s="64"/>
      <c r="V12" s="64"/>
    </row>
    <row r="13" spans="1:32" ht="17.25" thickBot="1">
      <c r="A13" s="64"/>
      <c r="B13" s="242" t="s">
        <v>331</v>
      </c>
      <c r="C13" s="762" t="s">
        <v>351</v>
      </c>
      <c r="D13" s="762"/>
      <c r="E13" s="762"/>
      <c r="F13" s="763"/>
      <c r="G13" s="64"/>
      <c r="H13" s="64"/>
      <c r="I13" s="64"/>
      <c r="J13" s="64"/>
      <c r="K13" s="64"/>
      <c r="L13" s="64"/>
      <c r="M13" s="64"/>
      <c r="N13" s="64"/>
      <c r="O13" s="64"/>
      <c r="P13" s="64"/>
      <c r="Q13" s="64"/>
      <c r="R13" s="64"/>
      <c r="S13" s="64"/>
      <c r="T13" s="64"/>
      <c r="U13" s="64"/>
      <c r="V13" s="64"/>
    </row>
    <row r="14" spans="1:32" ht="17.25" thickBot="1">
      <c r="A14" s="64"/>
      <c r="B14" s="1"/>
      <c r="C14" s="64"/>
      <c r="D14" s="64"/>
      <c r="E14" s="64"/>
      <c r="F14" s="64"/>
      <c r="G14" s="64"/>
      <c r="H14" s="64"/>
      <c r="I14" s="64"/>
      <c r="J14" s="64"/>
      <c r="K14" s="64"/>
      <c r="L14" s="64"/>
      <c r="M14" s="64"/>
      <c r="N14" s="64"/>
      <c r="O14" s="64"/>
      <c r="P14" s="64"/>
      <c r="Q14" s="64"/>
      <c r="R14" s="64"/>
      <c r="S14" s="64"/>
      <c r="T14" s="64"/>
      <c r="U14" s="64"/>
      <c r="V14" s="64"/>
    </row>
    <row r="15" spans="1:32" ht="17.25" thickBot="1">
      <c r="A15" s="64"/>
      <c r="B15" s="241" t="s">
        <v>330</v>
      </c>
      <c r="C15" s="240" t="s">
        <v>191</v>
      </c>
      <c r="D15" s="64"/>
      <c r="E15" s="64"/>
      <c r="F15" s="64"/>
      <c r="G15" s="64"/>
      <c r="H15" s="64"/>
      <c r="I15" s="64"/>
      <c r="J15" s="64"/>
      <c r="K15" s="64"/>
      <c r="L15" s="64"/>
      <c r="M15" s="64"/>
      <c r="N15" s="64"/>
      <c r="O15" s="64"/>
      <c r="P15" s="64"/>
      <c r="Q15" s="64"/>
      <c r="R15" s="64"/>
      <c r="S15" s="64"/>
      <c r="T15" s="64"/>
      <c r="U15" s="64"/>
      <c r="V15" s="64"/>
    </row>
    <row r="16" spans="1:32" ht="16.5">
      <c r="A16" s="64"/>
      <c r="B16" s="239" t="s">
        <v>329</v>
      </c>
      <c r="C16" s="238">
        <f>'Operating Model'!AK44</f>
        <v>54487</v>
      </c>
      <c r="D16" s="64"/>
      <c r="E16" s="64"/>
      <c r="F16" s="64"/>
      <c r="G16" s="64"/>
      <c r="H16" s="64"/>
      <c r="I16" s="64"/>
      <c r="J16" s="64"/>
      <c r="K16" s="64"/>
      <c r="L16" s="64"/>
      <c r="M16" s="64"/>
      <c r="N16" s="64"/>
      <c r="O16" s="64"/>
      <c r="P16" s="64"/>
      <c r="Q16" s="64"/>
      <c r="R16" s="64"/>
      <c r="S16" s="64"/>
      <c r="T16" s="64"/>
      <c r="U16" s="64"/>
      <c r="V16" s="64"/>
    </row>
    <row r="17" spans="1:22" ht="16.5">
      <c r="A17" s="64"/>
      <c r="B17" s="43" t="s">
        <v>328</v>
      </c>
      <c r="C17" s="236">
        <f>1.1*600000</f>
        <v>660000</v>
      </c>
      <c r="D17" s="64"/>
      <c r="E17" s="64"/>
      <c r="F17" s="64"/>
      <c r="G17" s="64"/>
      <c r="H17" s="64"/>
      <c r="I17" s="64"/>
      <c r="J17" s="64"/>
      <c r="K17" s="64"/>
      <c r="L17" s="64"/>
      <c r="M17" s="64"/>
      <c r="N17" s="64"/>
      <c r="O17" s="64"/>
      <c r="P17" s="64"/>
      <c r="Q17" s="64"/>
      <c r="R17" s="64"/>
      <c r="S17" s="64"/>
      <c r="T17" s="64"/>
      <c r="U17" s="64"/>
      <c r="V17" s="64"/>
    </row>
    <row r="18" spans="1:22" ht="16.5">
      <c r="A18" s="64"/>
      <c r="B18" s="43" t="s">
        <v>327</v>
      </c>
      <c r="C18" s="236">
        <f>C17+I6</f>
        <v>627000</v>
      </c>
      <c r="D18" s="64"/>
      <c r="E18" s="64"/>
      <c r="F18" s="64"/>
      <c r="G18" s="64"/>
      <c r="H18" s="64"/>
      <c r="I18" s="64"/>
      <c r="J18" s="64"/>
      <c r="K18" s="64"/>
      <c r="L18" s="64"/>
      <c r="M18" s="64"/>
      <c r="N18" s="64"/>
      <c r="O18" s="64"/>
      <c r="P18" s="64"/>
      <c r="Q18" s="64"/>
      <c r="R18" s="64"/>
      <c r="S18" s="64"/>
      <c r="T18" s="64"/>
      <c r="U18" s="64"/>
      <c r="V18" s="64"/>
    </row>
    <row r="19" spans="1:22" ht="16.5">
      <c r="A19" s="64"/>
      <c r="B19" s="43" t="s">
        <v>326</v>
      </c>
      <c r="C19" s="237">
        <f>Tear!H11</f>
        <v>202.08436523048906</v>
      </c>
      <c r="D19" s="64"/>
      <c r="E19" s="64"/>
      <c r="F19" s="64"/>
      <c r="G19" s="64"/>
      <c r="H19" s="64"/>
      <c r="I19" s="64"/>
      <c r="J19" s="64"/>
      <c r="K19" s="64"/>
      <c r="L19" s="64"/>
      <c r="M19" s="64"/>
      <c r="N19" s="64"/>
      <c r="O19" s="64"/>
      <c r="P19" s="64"/>
      <c r="Q19" s="64"/>
      <c r="R19" s="64"/>
      <c r="S19" s="64"/>
      <c r="T19" s="64"/>
      <c r="U19" s="64"/>
      <c r="V19" s="64"/>
    </row>
    <row r="20" spans="1:22" ht="16.5">
      <c r="A20" s="64"/>
      <c r="B20" s="43" t="s">
        <v>325</v>
      </c>
      <c r="C20" s="234">
        <f>Tear!H10</f>
        <v>0.42012905994721739</v>
      </c>
      <c r="D20" s="64"/>
      <c r="E20" s="64"/>
      <c r="F20" s="64"/>
      <c r="G20" s="64"/>
      <c r="H20" s="64"/>
      <c r="I20" s="64"/>
      <c r="J20" s="64"/>
      <c r="K20" s="64"/>
      <c r="L20" s="64"/>
      <c r="M20" s="64"/>
      <c r="N20" s="64"/>
      <c r="O20" s="64"/>
      <c r="P20" s="64"/>
      <c r="Q20" s="64"/>
      <c r="R20" s="64"/>
      <c r="S20" s="64"/>
      <c r="T20" s="64"/>
      <c r="U20" s="64"/>
      <c r="V20" s="64"/>
    </row>
    <row r="21" spans="1:22" ht="16.5">
      <c r="A21" s="64"/>
      <c r="B21" s="43" t="s">
        <v>324</v>
      </c>
      <c r="C21" s="236">
        <f>C17/C22</f>
        <v>33000</v>
      </c>
      <c r="D21" s="64"/>
      <c r="E21" s="64"/>
      <c r="F21" s="64"/>
      <c r="G21" s="64"/>
      <c r="H21" s="64"/>
      <c r="I21" s="64"/>
      <c r="J21" s="64"/>
      <c r="K21" s="64"/>
      <c r="L21" s="64"/>
      <c r="M21" s="64"/>
      <c r="N21" s="64"/>
      <c r="O21" s="64"/>
      <c r="P21" s="64"/>
      <c r="Q21" s="64"/>
      <c r="R21" s="64"/>
      <c r="S21" s="64"/>
      <c r="T21" s="64"/>
      <c r="U21" s="64"/>
      <c r="V21" s="64"/>
    </row>
    <row r="22" spans="1:22" ht="16.5">
      <c r="A22" s="64"/>
      <c r="B22" s="43" t="s">
        <v>323</v>
      </c>
      <c r="C22" s="235">
        <v>20</v>
      </c>
      <c r="D22" s="64"/>
      <c r="E22" s="64"/>
      <c r="F22" s="64"/>
      <c r="G22" s="64"/>
      <c r="H22" s="64"/>
      <c r="I22" s="64"/>
      <c r="J22" s="64"/>
      <c r="K22" s="64"/>
      <c r="L22" s="64"/>
      <c r="M22" s="64"/>
      <c r="N22" s="64"/>
      <c r="O22" s="64"/>
      <c r="P22" s="64"/>
      <c r="Q22" s="64"/>
      <c r="R22" s="64"/>
      <c r="S22" s="64"/>
      <c r="T22" s="64"/>
      <c r="U22" s="64"/>
      <c r="V22" s="64"/>
    </row>
    <row r="23" spans="1:22" ht="16.5">
      <c r="A23" s="64"/>
      <c r="B23" s="43" t="s">
        <v>322</v>
      </c>
      <c r="C23" s="234">
        <f>C20/C22</f>
        <v>2.1006452997360869E-2</v>
      </c>
      <c r="D23" s="64"/>
      <c r="E23" s="64"/>
      <c r="F23" s="64"/>
      <c r="G23" s="64"/>
      <c r="H23" s="64"/>
      <c r="I23" s="64"/>
      <c r="J23" s="64"/>
      <c r="K23" s="64"/>
      <c r="L23" s="64"/>
      <c r="M23" s="64"/>
      <c r="N23" s="64"/>
      <c r="O23" s="64"/>
      <c r="P23" s="64"/>
      <c r="Q23" s="64"/>
      <c r="R23" s="64"/>
      <c r="S23" s="64"/>
      <c r="T23" s="64"/>
      <c r="U23" s="64"/>
      <c r="V23" s="64"/>
    </row>
    <row r="24" spans="1:22" ht="17.25" thickBot="1">
      <c r="A24" s="64"/>
      <c r="B24" s="50" t="s">
        <v>321</v>
      </c>
      <c r="C24" s="233">
        <f>SUM(I6:L6,N6:Q6,S6:V6)</f>
        <v>-396000</v>
      </c>
      <c r="D24" s="64"/>
      <c r="E24" s="64"/>
      <c r="F24" s="64"/>
      <c r="G24" s="64"/>
      <c r="H24" s="64"/>
      <c r="I24" s="64"/>
      <c r="J24" s="64"/>
      <c r="K24" s="64"/>
      <c r="L24" s="64"/>
      <c r="M24" s="64"/>
      <c r="N24" s="64"/>
      <c r="O24" s="64"/>
      <c r="P24" s="64"/>
      <c r="Q24" s="64"/>
      <c r="R24" s="64"/>
      <c r="S24" s="64"/>
      <c r="T24" s="64"/>
      <c r="U24" s="64"/>
      <c r="V24" s="64"/>
    </row>
    <row r="25" spans="1:22" ht="16.5">
      <c r="A25" s="64"/>
      <c r="B25" s="64"/>
      <c r="C25" s="64"/>
      <c r="D25" s="64"/>
      <c r="E25" s="64"/>
      <c r="F25" s="64"/>
      <c r="G25" s="64"/>
      <c r="H25" s="64"/>
      <c r="I25" s="64"/>
      <c r="J25" s="64"/>
      <c r="K25" s="64"/>
      <c r="L25" s="64"/>
      <c r="M25" s="64"/>
      <c r="N25" s="64"/>
      <c r="O25" s="64"/>
      <c r="P25" s="64"/>
      <c r="Q25" s="64"/>
      <c r="R25" s="64"/>
      <c r="S25" s="64"/>
      <c r="T25" s="64"/>
      <c r="U25" s="64"/>
      <c r="V25" s="64"/>
    </row>
    <row r="26" spans="1:22" ht="16.5">
      <c r="A26" s="64"/>
      <c r="B26" s="64"/>
      <c r="C26" s="64"/>
      <c r="D26" s="64"/>
      <c r="E26" s="64"/>
      <c r="F26" s="64"/>
      <c r="G26" s="64"/>
      <c r="H26" s="64"/>
      <c r="I26" s="64"/>
      <c r="J26" s="64"/>
      <c r="K26" s="64"/>
      <c r="L26" s="64"/>
      <c r="M26" s="64"/>
      <c r="N26" s="64"/>
      <c r="O26" s="64"/>
      <c r="P26" s="64"/>
      <c r="Q26" s="64"/>
      <c r="R26" s="64"/>
      <c r="S26" s="64"/>
      <c r="T26" s="64"/>
      <c r="U26" s="64"/>
      <c r="V26" s="64"/>
    </row>
    <row r="43" spans="2:2">
      <c r="B43" s="232"/>
    </row>
  </sheetData>
  <mergeCells count="2">
    <mergeCell ref="C12:F12"/>
    <mergeCell ref="C13:F1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7A676-188F-48ED-B747-7DF537266C66}">
  <dimension ref="B1:K1274"/>
  <sheetViews>
    <sheetView showGridLines="0" workbookViewId="0">
      <selection activeCell="L24" sqref="L24"/>
    </sheetView>
  </sheetViews>
  <sheetFormatPr defaultRowHeight="16.5"/>
  <cols>
    <col min="1" max="1" width="9.140625" style="1"/>
    <col min="2" max="2" width="12.7109375" style="1" bestFit="1" customWidth="1"/>
    <col min="3" max="3" width="11.140625" style="46" bestFit="1" customWidth="1"/>
    <col min="4" max="4" width="11" style="1" customWidth="1"/>
    <col min="5" max="5" width="9.140625" style="1"/>
    <col min="6" max="6" width="12.7109375" style="45" bestFit="1" customWidth="1"/>
    <col min="7" max="7" width="11.140625" style="47" bestFit="1" customWidth="1"/>
    <col min="8" max="8" width="9.28515625" style="1" bestFit="1" customWidth="1"/>
    <col min="9" max="9" width="9.140625" style="1"/>
    <col min="10" max="10" width="22.140625" style="1" bestFit="1" customWidth="1"/>
    <col min="11" max="11" width="6.85546875" style="1" bestFit="1" customWidth="1"/>
    <col min="12" max="16384" width="9.140625" style="1"/>
  </cols>
  <sheetData>
    <row r="1" spans="2:11" ht="17.25" thickBot="1"/>
    <row r="2" spans="2:11" ht="17.25" thickTop="1">
      <c r="B2" s="769" t="s">
        <v>173</v>
      </c>
      <c r="C2" s="770"/>
      <c r="D2" s="771"/>
      <c r="F2" s="766" t="s">
        <v>174</v>
      </c>
      <c r="G2" s="767"/>
      <c r="H2" s="768"/>
      <c r="J2" s="764" t="s">
        <v>176</v>
      </c>
      <c r="K2" s="765"/>
    </row>
    <row r="3" spans="2:11">
      <c r="B3" s="52" t="s">
        <v>171</v>
      </c>
      <c r="C3" s="46" t="s">
        <v>172</v>
      </c>
      <c r="D3" s="53" t="s">
        <v>175</v>
      </c>
      <c r="F3" s="59" t="s">
        <v>171</v>
      </c>
      <c r="G3" s="47" t="s">
        <v>172</v>
      </c>
      <c r="H3" s="53" t="s">
        <v>175</v>
      </c>
      <c r="J3" s="43" t="s">
        <v>177</v>
      </c>
      <c r="K3" s="48">
        <f>SLOPE(D5:D1273,H5:H1273)</f>
        <v>1.1781281311539518</v>
      </c>
    </row>
    <row r="4" spans="2:11">
      <c r="B4" s="54">
        <v>43185</v>
      </c>
      <c r="C4" s="46">
        <v>49.330002</v>
      </c>
      <c r="D4" s="53"/>
      <c r="F4" s="60">
        <v>43185</v>
      </c>
      <c r="G4" s="47">
        <v>55.839638000000001</v>
      </c>
      <c r="H4" s="53"/>
      <c r="J4" s="43" t="s">
        <v>178</v>
      </c>
      <c r="K4" s="49">
        <v>3.4000000000000002E-2</v>
      </c>
    </row>
    <row r="5" spans="2:11">
      <c r="B5" s="54">
        <v>43186</v>
      </c>
      <c r="C5" s="46">
        <v>48.509998000000003</v>
      </c>
      <c r="D5" s="55">
        <f>(C5-C4)/C4</f>
        <v>-1.6622825192668698E-2</v>
      </c>
      <c r="F5" s="60">
        <v>43186</v>
      </c>
      <c r="G5" s="47">
        <v>54.848571999999997</v>
      </c>
      <c r="H5" s="55">
        <f>(G5-G4)/G4</f>
        <v>-1.7748431678586519E-2</v>
      </c>
      <c r="J5" s="43" t="s">
        <v>179</v>
      </c>
      <c r="K5" s="49">
        <v>5.2499999999999998E-2</v>
      </c>
    </row>
    <row r="6" spans="2:11" ht="17.25" thickBot="1">
      <c r="B6" s="54">
        <v>43187</v>
      </c>
      <c r="C6" s="46">
        <v>48.43</v>
      </c>
      <c r="D6" s="55">
        <f t="shared" ref="D6:D69" si="0">(C6-C5)/C5</f>
        <v>-1.6491033456650182E-3</v>
      </c>
      <c r="F6" s="60">
        <v>43187</v>
      </c>
      <c r="G6" s="47">
        <v>54.710926000000001</v>
      </c>
      <c r="H6" s="55">
        <f t="shared" ref="H6:H69" si="1">(G6-G5)/G5</f>
        <v>-2.5095639682286828E-3</v>
      </c>
      <c r="J6" s="50" t="s">
        <v>180</v>
      </c>
      <c r="K6" s="51">
        <f>K4+(K5*K3)</f>
        <v>9.5851726885582467E-2</v>
      </c>
    </row>
    <row r="7" spans="2:11">
      <c r="B7" s="54">
        <v>43188</v>
      </c>
      <c r="C7" s="46">
        <v>48.810001</v>
      </c>
      <c r="D7" s="55">
        <f t="shared" si="0"/>
        <v>7.8463968614495162E-3</v>
      </c>
      <c r="F7" s="60">
        <v>43188</v>
      </c>
      <c r="G7" s="47">
        <v>55.481766</v>
      </c>
      <c r="H7" s="55">
        <f t="shared" si="1"/>
        <v>1.4089324680777652E-2</v>
      </c>
    </row>
    <row r="8" spans="2:11">
      <c r="B8" s="54">
        <v>43192</v>
      </c>
      <c r="C8" s="46">
        <v>47.84</v>
      </c>
      <c r="D8" s="55">
        <f t="shared" si="0"/>
        <v>-1.9872996929461165E-2</v>
      </c>
      <c r="F8" s="60">
        <v>43192</v>
      </c>
      <c r="G8" s="47">
        <v>54.197037000000002</v>
      </c>
      <c r="H8" s="55">
        <f t="shared" si="1"/>
        <v>-2.3155877914917102E-2</v>
      </c>
    </row>
    <row r="9" spans="2:11">
      <c r="B9" s="54">
        <v>43193</v>
      </c>
      <c r="C9" s="46">
        <v>48.450001</v>
      </c>
      <c r="D9" s="55">
        <f t="shared" si="0"/>
        <v>1.2750857023411305E-2</v>
      </c>
      <c r="F9" s="60">
        <v>43193</v>
      </c>
      <c r="G9" s="47">
        <v>54.866931999999998</v>
      </c>
      <c r="H9" s="55">
        <f t="shared" si="1"/>
        <v>1.2360362061859521E-2</v>
      </c>
    </row>
    <row r="10" spans="2:11">
      <c r="B10" s="54">
        <v>43194</v>
      </c>
      <c r="C10" s="46">
        <v>48.650002000000001</v>
      </c>
      <c r="D10" s="55">
        <f t="shared" si="0"/>
        <v>4.1279875308980968E-3</v>
      </c>
      <c r="F10" s="60">
        <v>43194</v>
      </c>
      <c r="G10" s="47">
        <v>55.536819000000001</v>
      </c>
      <c r="H10" s="55">
        <f t="shared" si="1"/>
        <v>1.2209303046140849E-2</v>
      </c>
    </row>
    <row r="11" spans="2:11">
      <c r="B11" s="54">
        <v>43195</v>
      </c>
      <c r="C11" s="46">
        <v>49.34</v>
      </c>
      <c r="D11" s="55">
        <f t="shared" si="0"/>
        <v>1.4182897669767882E-2</v>
      </c>
      <c r="F11" s="60">
        <v>43195</v>
      </c>
      <c r="G11" s="47">
        <v>55.894711000000001</v>
      </c>
      <c r="H11" s="55">
        <f t="shared" si="1"/>
        <v>6.4442293679081554E-3</v>
      </c>
    </row>
    <row r="12" spans="2:11">
      <c r="B12" s="54">
        <v>43196</v>
      </c>
      <c r="C12" s="46">
        <v>48.380001</v>
      </c>
      <c r="D12" s="55">
        <f t="shared" si="0"/>
        <v>-1.9456809890555399E-2</v>
      </c>
      <c r="F12" s="60">
        <v>43196</v>
      </c>
      <c r="G12" s="47">
        <v>54.710926000000001</v>
      </c>
      <c r="H12" s="55">
        <f t="shared" si="1"/>
        <v>-2.1178837475338236E-2</v>
      </c>
    </row>
    <row r="13" spans="2:11">
      <c r="B13" s="54">
        <v>43199</v>
      </c>
      <c r="C13" s="46">
        <v>48.32</v>
      </c>
      <c r="D13" s="55">
        <f t="shared" si="0"/>
        <v>-1.2402025374079622E-3</v>
      </c>
      <c r="F13" s="60">
        <v>43199</v>
      </c>
      <c r="G13" s="47">
        <v>54.857745999999999</v>
      </c>
      <c r="H13" s="55">
        <f t="shared" si="1"/>
        <v>2.6835590390116622E-3</v>
      </c>
    </row>
    <row r="14" spans="2:11">
      <c r="B14" s="54">
        <v>43200</v>
      </c>
      <c r="C14" s="46">
        <v>48.599997999999999</v>
      </c>
      <c r="D14" s="55">
        <f t="shared" si="0"/>
        <v>5.7946605960264713E-3</v>
      </c>
      <c r="F14" s="60">
        <v>43200</v>
      </c>
      <c r="G14" s="47">
        <v>55.793757999999997</v>
      </c>
      <c r="H14" s="55">
        <f t="shared" si="1"/>
        <v>1.7062531151024653E-2</v>
      </c>
    </row>
    <row r="15" spans="2:11">
      <c r="B15" s="54">
        <v>43201</v>
      </c>
      <c r="C15" s="46">
        <v>48.200001</v>
      </c>
      <c r="D15" s="55">
        <f t="shared" si="0"/>
        <v>-8.2303912852012672E-3</v>
      </c>
      <c r="F15" s="60">
        <v>43201</v>
      </c>
      <c r="G15" s="47">
        <v>55.555176000000003</v>
      </c>
      <c r="H15" s="55">
        <f t="shared" si="1"/>
        <v>-4.2761414278635586E-3</v>
      </c>
    </row>
    <row r="16" spans="2:11">
      <c r="B16" s="54">
        <v>43202</v>
      </c>
      <c r="C16" s="46">
        <v>48.700001</v>
      </c>
      <c r="D16" s="55">
        <f t="shared" si="0"/>
        <v>1.0373443768185813E-2</v>
      </c>
      <c r="F16" s="60">
        <v>43202</v>
      </c>
      <c r="G16" s="47">
        <v>55.986469</v>
      </c>
      <c r="H16" s="55">
        <f t="shared" si="1"/>
        <v>7.7633270390502695E-3</v>
      </c>
    </row>
    <row r="17" spans="2:8">
      <c r="B17" s="54">
        <v>43203</v>
      </c>
      <c r="C17" s="46">
        <v>48.43</v>
      </c>
      <c r="D17" s="55">
        <f t="shared" si="0"/>
        <v>-5.5441682639801298E-3</v>
      </c>
      <c r="F17" s="60">
        <v>43203</v>
      </c>
      <c r="G17" s="47">
        <v>55.830466999999999</v>
      </c>
      <c r="H17" s="55">
        <f t="shared" si="1"/>
        <v>-2.7864232695225138E-3</v>
      </c>
    </row>
    <row r="18" spans="2:8">
      <c r="B18" s="54">
        <v>43206</v>
      </c>
      <c r="C18" s="46">
        <v>48.580002</v>
      </c>
      <c r="D18" s="55">
        <f t="shared" si="0"/>
        <v>3.0972950650423421E-3</v>
      </c>
      <c r="F18" s="60">
        <v>43206</v>
      </c>
      <c r="G18" s="47">
        <v>56.280135999999999</v>
      </c>
      <c r="H18" s="55">
        <f t="shared" si="1"/>
        <v>8.0541866146310419E-3</v>
      </c>
    </row>
    <row r="19" spans="2:8">
      <c r="B19" s="54">
        <v>43207</v>
      </c>
      <c r="C19" s="46">
        <v>48.720001000000003</v>
      </c>
      <c r="D19" s="55">
        <f t="shared" si="0"/>
        <v>2.8818236771584139E-3</v>
      </c>
      <c r="F19" s="60">
        <v>43207</v>
      </c>
      <c r="G19" s="47">
        <v>56.894950999999999</v>
      </c>
      <c r="H19" s="55">
        <f t="shared" si="1"/>
        <v>1.0924191796551453E-2</v>
      </c>
    </row>
    <row r="20" spans="2:8">
      <c r="B20" s="54">
        <v>43208</v>
      </c>
      <c r="C20" s="46">
        <v>48.599997999999999</v>
      </c>
      <c r="D20" s="55">
        <f t="shared" si="0"/>
        <v>-2.4631157129903192E-3</v>
      </c>
      <c r="F20" s="60">
        <v>43208</v>
      </c>
      <c r="G20" s="47">
        <v>56.968369000000003</v>
      </c>
      <c r="H20" s="55">
        <f t="shared" si="1"/>
        <v>1.2904132741058825E-3</v>
      </c>
    </row>
    <row r="21" spans="2:8">
      <c r="B21" s="54">
        <v>43209</v>
      </c>
      <c r="C21" s="46">
        <v>48.32</v>
      </c>
      <c r="D21" s="55">
        <f t="shared" si="0"/>
        <v>-5.7612759572541359E-3</v>
      </c>
      <c r="F21" s="60">
        <v>43209</v>
      </c>
      <c r="G21" s="47">
        <v>56.656364000000004</v>
      </c>
      <c r="H21" s="55">
        <f t="shared" si="1"/>
        <v>-5.4768111756894281E-3</v>
      </c>
    </row>
    <row r="22" spans="2:8">
      <c r="B22" s="54">
        <v>43210</v>
      </c>
      <c r="C22" s="46">
        <v>48.200001</v>
      </c>
      <c r="D22" s="55">
        <f t="shared" si="0"/>
        <v>-2.4834230132450325E-3</v>
      </c>
      <c r="F22" s="60">
        <v>43210</v>
      </c>
      <c r="G22" s="47">
        <v>56.197539999999996</v>
      </c>
      <c r="H22" s="55">
        <f t="shared" si="1"/>
        <v>-8.0983664959510451E-3</v>
      </c>
    </row>
    <row r="23" spans="2:8">
      <c r="B23" s="54">
        <v>43213</v>
      </c>
      <c r="C23" s="46">
        <v>48.580002</v>
      </c>
      <c r="D23" s="55">
        <f t="shared" si="0"/>
        <v>7.8838380107087557E-3</v>
      </c>
      <c r="F23" s="60">
        <v>43213</v>
      </c>
      <c r="G23" s="47">
        <v>56.170001999999997</v>
      </c>
      <c r="H23" s="55">
        <f t="shared" si="1"/>
        <v>-4.9002144933745927E-4</v>
      </c>
    </row>
    <row r="24" spans="2:8">
      <c r="B24" s="54">
        <v>43214</v>
      </c>
      <c r="C24" s="46">
        <v>48.240001999999997</v>
      </c>
      <c r="D24" s="55">
        <f t="shared" si="0"/>
        <v>-6.9987646357034614E-3</v>
      </c>
      <c r="F24" s="60">
        <v>43214</v>
      </c>
      <c r="G24" s="47">
        <v>55.472583999999998</v>
      </c>
      <c r="H24" s="55">
        <f t="shared" si="1"/>
        <v>-1.2416200376848822E-2</v>
      </c>
    </row>
    <row r="25" spans="2:8">
      <c r="B25" s="54">
        <v>43215</v>
      </c>
      <c r="C25" s="46">
        <v>48.16</v>
      </c>
      <c r="D25" s="55">
        <f t="shared" si="0"/>
        <v>-1.6584161833160861E-3</v>
      </c>
      <c r="F25" s="60">
        <v>43215</v>
      </c>
      <c r="G25" s="47">
        <v>55.555176000000003</v>
      </c>
      <c r="H25" s="55">
        <f t="shared" si="1"/>
        <v>1.488879623851763E-3</v>
      </c>
    </row>
    <row r="26" spans="2:8">
      <c r="B26" s="54">
        <v>43216</v>
      </c>
      <c r="C26" s="46">
        <v>47.720001000000003</v>
      </c>
      <c r="D26" s="55">
        <f t="shared" si="0"/>
        <v>-9.1361918604649754E-3</v>
      </c>
      <c r="F26" s="60">
        <v>43216</v>
      </c>
      <c r="G26" s="47">
        <v>56.096592000000001</v>
      </c>
      <c r="H26" s="55">
        <f t="shared" si="1"/>
        <v>9.7455545816288666E-3</v>
      </c>
    </row>
    <row r="27" spans="2:8">
      <c r="B27" s="54">
        <v>43217</v>
      </c>
      <c r="C27" s="46">
        <v>47.599997999999999</v>
      </c>
      <c r="D27" s="55">
        <f t="shared" si="0"/>
        <v>-2.5147317159528995E-3</v>
      </c>
      <c r="F27" s="60">
        <v>43217</v>
      </c>
      <c r="G27" s="47">
        <v>56.114936999999998</v>
      </c>
      <c r="H27" s="55">
        <f t="shared" si="1"/>
        <v>3.2702521393806778E-4</v>
      </c>
    </row>
    <row r="28" spans="2:8">
      <c r="B28" s="54">
        <v>43220</v>
      </c>
      <c r="C28" s="46">
        <v>45.799999</v>
      </c>
      <c r="D28" s="55">
        <f t="shared" si="0"/>
        <v>-3.781510663088683E-2</v>
      </c>
      <c r="F28" s="60">
        <v>43220</v>
      </c>
      <c r="G28" s="47">
        <v>55.656112999999998</v>
      </c>
      <c r="H28" s="55">
        <f t="shared" si="1"/>
        <v>-8.1765038781028993E-3</v>
      </c>
    </row>
    <row r="29" spans="2:8">
      <c r="B29" s="54">
        <v>43221</v>
      </c>
      <c r="C29" s="46">
        <v>45.450001</v>
      </c>
      <c r="D29" s="55">
        <f t="shared" si="0"/>
        <v>-7.6418778961108574E-3</v>
      </c>
      <c r="F29" s="60">
        <v>43221</v>
      </c>
      <c r="G29" s="47">
        <v>55.784592000000004</v>
      </c>
      <c r="H29" s="55">
        <f t="shared" si="1"/>
        <v>2.308443638527286E-3</v>
      </c>
    </row>
    <row r="30" spans="2:8">
      <c r="B30" s="54">
        <v>43222</v>
      </c>
      <c r="C30" s="46">
        <v>49.18</v>
      </c>
      <c r="D30" s="55">
        <f t="shared" si="0"/>
        <v>8.2068183012801235E-2</v>
      </c>
      <c r="F30" s="60">
        <v>43222</v>
      </c>
      <c r="G30" s="47">
        <v>55.472583999999998</v>
      </c>
      <c r="H30" s="55">
        <f t="shared" si="1"/>
        <v>-5.5930856319609873E-3</v>
      </c>
    </row>
    <row r="31" spans="2:8">
      <c r="B31" s="54">
        <v>43223</v>
      </c>
      <c r="C31" s="46">
        <v>51.209999000000003</v>
      </c>
      <c r="D31" s="55">
        <f t="shared" si="0"/>
        <v>4.1276921512810164E-2</v>
      </c>
      <c r="F31" s="60">
        <v>43223</v>
      </c>
      <c r="G31" s="47">
        <v>55.334927</v>
      </c>
      <c r="H31" s="55">
        <f t="shared" si="1"/>
        <v>-2.4815321384703704E-3</v>
      </c>
    </row>
    <row r="32" spans="2:8">
      <c r="B32" s="54">
        <v>43224</v>
      </c>
      <c r="C32" s="46">
        <v>51.419998</v>
      </c>
      <c r="D32" s="55">
        <f t="shared" si="0"/>
        <v>4.1007421226467167E-3</v>
      </c>
      <c r="F32" s="60">
        <v>43224</v>
      </c>
      <c r="G32" s="47">
        <v>56.059879000000002</v>
      </c>
      <c r="H32" s="55">
        <f t="shared" si="1"/>
        <v>1.3101164839342823E-2</v>
      </c>
    </row>
    <row r="33" spans="2:8">
      <c r="B33" s="54">
        <v>43227</v>
      </c>
      <c r="C33" s="46">
        <v>51.610000999999997</v>
      </c>
      <c r="D33" s="55">
        <f t="shared" si="0"/>
        <v>3.6951187746058888E-3</v>
      </c>
      <c r="F33" s="60">
        <v>43227</v>
      </c>
      <c r="G33" s="47">
        <v>56.307648</v>
      </c>
      <c r="H33" s="55">
        <f t="shared" si="1"/>
        <v>4.4197205634353602E-3</v>
      </c>
    </row>
    <row r="34" spans="2:8">
      <c r="B34" s="54">
        <v>43228</v>
      </c>
      <c r="C34" s="46">
        <v>52.23</v>
      </c>
      <c r="D34" s="55">
        <f t="shared" si="0"/>
        <v>1.201315613227754E-2</v>
      </c>
      <c r="F34" s="60">
        <v>43228</v>
      </c>
      <c r="G34" s="47">
        <v>56.325992999999997</v>
      </c>
      <c r="H34" s="55">
        <f t="shared" si="1"/>
        <v>3.2579943669457659E-4</v>
      </c>
    </row>
    <row r="35" spans="2:8">
      <c r="B35" s="54">
        <v>43229</v>
      </c>
      <c r="C35" s="46">
        <v>51.77</v>
      </c>
      <c r="D35" s="55">
        <f t="shared" si="0"/>
        <v>-8.8071989278191414E-3</v>
      </c>
      <c r="F35" s="60">
        <v>43229</v>
      </c>
      <c r="G35" s="47">
        <v>56.839897000000001</v>
      </c>
      <c r="H35" s="55">
        <f t="shared" si="1"/>
        <v>9.1237450531942467E-3</v>
      </c>
    </row>
    <row r="36" spans="2:8">
      <c r="B36" s="54">
        <v>43230</v>
      </c>
      <c r="C36" s="46">
        <v>52.189999</v>
      </c>
      <c r="D36" s="55">
        <f t="shared" si="0"/>
        <v>8.1127873285686131E-3</v>
      </c>
      <c r="F36" s="60">
        <v>43230</v>
      </c>
      <c r="G36" s="47">
        <v>57.344608000000001</v>
      </c>
      <c r="H36" s="55">
        <f t="shared" si="1"/>
        <v>8.8795199611287189E-3</v>
      </c>
    </row>
    <row r="37" spans="2:8">
      <c r="B37" s="54">
        <v>43231</v>
      </c>
      <c r="C37" s="46">
        <v>52.57</v>
      </c>
      <c r="D37" s="55">
        <f t="shared" si="0"/>
        <v>7.2811076313682253E-3</v>
      </c>
      <c r="F37" s="60">
        <v>43231</v>
      </c>
      <c r="G37" s="47">
        <v>57.473075999999999</v>
      </c>
      <c r="H37" s="55">
        <f t="shared" si="1"/>
        <v>2.2402803764915093E-3</v>
      </c>
    </row>
    <row r="38" spans="2:8">
      <c r="B38" s="54">
        <v>43234</v>
      </c>
      <c r="C38" s="46">
        <v>51.990001999999997</v>
      </c>
      <c r="D38" s="55">
        <f t="shared" si="0"/>
        <v>-1.1032870458436435E-2</v>
      </c>
      <c r="F38" s="60">
        <v>43234</v>
      </c>
      <c r="G38" s="47">
        <v>57.491432000000003</v>
      </c>
      <c r="H38" s="55">
        <f t="shared" si="1"/>
        <v>3.1938433223939949E-4</v>
      </c>
    </row>
    <row r="39" spans="2:8">
      <c r="B39" s="54">
        <v>43235</v>
      </c>
      <c r="C39" s="46">
        <v>52.060001</v>
      </c>
      <c r="D39" s="55">
        <f t="shared" si="0"/>
        <v>1.3463934854244248E-3</v>
      </c>
      <c r="F39" s="60">
        <v>43235</v>
      </c>
      <c r="G39" s="47">
        <v>57.133541000000001</v>
      </c>
      <c r="H39" s="55">
        <f t="shared" si="1"/>
        <v>-6.2251189011956103E-3</v>
      </c>
    </row>
    <row r="40" spans="2:8">
      <c r="B40" s="54">
        <v>43236</v>
      </c>
      <c r="C40" s="46">
        <v>51.919998</v>
      </c>
      <c r="D40" s="55">
        <f t="shared" si="0"/>
        <v>-2.6892623378935413E-3</v>
      </c>
      <c r="F40" s="60">
        <v>43236</v>
      </c>
      <c r="G40" s="47">
        <v>57.418025999999998</v>
      </c>
      <c r="H40" s="55">
        <f t="shared" si="1"/>
        <v>4.9792992876110465E-3</v>
      </c>
    </row>
    <row r="41" spans="2:8">
      <c r="B41" s="54">
        <v>43237</v>
      </c>
      <c r="C41" s="46">
        <v>51.869999</v>
      </c>
      <c r="D41" s="55">
        <f t="shared" si="0"/>
        <v>-9.6300080751158125E-4</v>
      </c>
      <c r="F41" s="60">
        <v>43237</v>
      </c>
      <c r="G41" s="47">
        <v>57.427193000000003</v>
      </c>
      <c r="H41" s="55">
        <f t="shared" si="1"/>
        <v>1.5965369481711253E-4</v>
      </c>
    </row>
    <row r="42" spans="2:8">
      <c r="B42" s="54">
        <v>43238</v>
      </c>
      <c r="C42" s="46">
        <v>51.060001</v>
      </c>
      <c r="D42" s="55">
        <f t="shared" si="0"/>
        <v>-1.5615924727509639E-2</v>
      </c>
      <c r="F42" s="60">
        <v>43238</v>
      </c>
      <c r="G42" s="47">
        <v>57.298721</v>
      </c>
      <c r="H42" s="55">
        <f t="shared" si="1"/>
        <v>-2.237128323510469E-3</v>
      </c>
    </row>
    <row r="43" spans="2:8">
      <c r="B43" s="54">
        <v>43241</v>
      </c>
      <c r="C43" s="46">
        <v>52.75</v>
      </c>
      <c r="D43" s="55">
        <f t="shared" si="0"/>
        <v>3.3098295473985601E-2</v>
      </c>
      <c r="F43" s="60">
        <v>43241</v>
      </c>
      <c r="G43" s="47">
        <v>57.702495999999996</v>
      </c>
      <c r="H43" s="55">
        <f t="shared" si="1"/>
        <v>7.0468414120447125E-3</v>
      </c>
    </row>
    <row r="44" spans="2:8">
      <c r="B44" s="54">
        <v>43242</v>
      </c>
      <c r="C44" s="46">
        <v>52.59</v>
      </c>
      <c r="D44" s="55">
        <f t="shared" si="0"/>
        <v>-3.0331753554501723E-3</v>
      </c>
      <c r="F44" s="60">
        <v>43242</v>
      </c>
      <c r="G44" s="47">
        <v>57.509780999999997</v>
      </c>
      <c r="H44" s="55">
        <f t="shared" si="1"/>
        <v>-3.3398035329355556E-3</v>
      </c>
    </row>
    <row r="45" spans="2:8">
      <c r="B45" s="54">
        <v>43243</v>
      </c>
      <c r="C45" s="46">
        <v>52.900002000000001</v>
      </c>
      <c r="D45" s="55">
        <f t="shared" si="0"/>
        <v>5.8946948088989771E-3</v>
      </c>
      <c r="F45" s="60">
        <v>43243</v>
      </c>
      <c r="G45" s="47">
        <v>57.656612000000003</v>
      </c>
      <c r="H45" s="55">
        <f t="shared" si="1"/>
        <v>2.5531483070680783E-3</v>
      </c>
    </row>
    <row r="46" spans="2:8">
      <c r="B46" s="54">
        <v>43244</v>
      </c>
      <c r="C46" s="46">
        <v>52.689999</v>
      </c>
      <c r="D46" s="55">
        <f t="shared" si="0"/>
        <v>-3.9698108139958176E-3</v>
      </c>
      <c r="F46" s="60">
        <v>43244</v>
      </c>
      <c r="G46" s="47">
        <v>57.583205999999997</v>
      </c>
      <c r="H46" s="55">
        <f t="shared" si="1"/>
        <v>-1.2731584020234422E-3</v>
      </c>
    </row>
    <row r="47" spans="2:8">
      <c r="B47" s="54">
        <v>43245</v>
      </c>
      <c r="C47" s="46">
        <v>52.650002000000001</v>
      </c>
      <c r="D47" s="55">
        <f t="shared" si="0"/>
        <v>-7.5910041296450999E-4</v>
      </c>
      <c r="F47" s="60">
        <v>43245</v>
      </c>
      <c r="G47" s="47">
        <v>57.463898</v>
      </c>
      <c r="H47" s="55">
        <f t="shared" si="1"/>
        <v>-2.0719235396514158E-3</v>
      </c>
    </row>
    <row r="48" spans="2:8">
      <c r="B48" s="54">
        <v>43249</v>
      </c>
      <c r="C48" s="46">
        <v>52.830002</v>
      </c>
      <c r="D48" s="55">
        <f t="shared" si="0"/>
        <v>3.4188032889343424E-3</v>
      </c>
      <c r="F48" s="60">
        <v>43249</v>
      </c>
      <c r="G48" s="47">
        <v>56.885776999999997</v>
      </c>
      <c r="H48" s="55">
        <f t="shared" si="1"/>
        <v>-1.0060594914741129E-2</v>
      </c>
    </row>
    <row r="49" spans="2:8">
      <c r="B49" s="54">
        <v>43250</v>
      </c>
      <c r="C49" s="46">
        <v>54.169998</v>
      </c>
      <c r="D49" s="55">
        <f t="shared" si="0"/>
        <v>2.5364299626564453E-2</v>
      </c>
      <c r="F49" s="60">
        <v>43250</v>
      </c>
      <c r="G49" s="47">
        <v>57.629078</v>
      </c>
      <c r="H49" s="55">
        <f t="shared" si="1"/>
        <v>1.3066552646367167E-2</v>
      </c>
    </row>
    <row r="50" spans="2:8">
      <c r="B50" s="54">
        <v>43251</v>
      </c>
      <c r="C50" s="46">
        <v>53</v>
      </c>
      <c r="D50" s="55">
        <f t="shared" si="0"/>
        <v>-2.1598634727658651E-2</v>
      </c>
      <c r="F50" s="60">
        <v>43251</v>
      </c>
      <c r="G50" s="47">
        <v>57.216132999999999</v>
      </c>
      <c r="H50" s="55">
        <f t="shared" si="1"/>
        <v>-7.165566660636156E-3</v>
      </c>
    </row>
    <row r="51" spans="2:8">
      <c r="B51" s="54">
        <v>43252</v>
      </c>
      <c r="C51" s="46">
        <v>53.689999</v>
      </c>
      <c r="D51" s="55">
        <f t="shared" si="0"/>
        <v>1.3018849056603778E-2</v>
      </c>
      <c r="F51" s="60">
        <v>43252</v>
      </c>
      <c r="G51" s="47">
        <v>57.821789000000003</v>
      </c>
      <c r="H51" s="55">
        <f t="shared" si="1"/>
        <v>1.0585406042732795E-2</v>
      </c>
    </row>
    <row r="52" spans="2:8">
      <c r="B52" s="54">
        <v>43255</v>
      </c>
      <c r="C52" s="46">
        <v>53.360000999999997</v>
      </c>
      <c r="D52" s="55">
        <f t="shared" si="0"/>
        <v>-6.1463588404984575E-3</v>
      </c>
      <c r="F52" s="60">
        <v>43255</v>
      </c>
      <c r="G52" s="47">
        <v>58.097095000000003</v>
      </c>
      <c r="H52" s="55">
        <f t="shared" si="1"/>
        <v>4.7612847122388497E-3</v>
      </c>
    </row>
    <row r="53" spans="2:8">
      <c r="B53" s="54">
        <v>43256</v>
      </c>
      <c r="C53" s="46">
        <v>53.43</v>
      </c>
      <c r="D53" s="55">
        <f t="shared" si="0"/>
        <v>1.3118253127469546E-3</v>
      </c>
      <c r="F53" s="60">
        <v>43256</v>
      </c>
      <c r="G53" s="47">
        <v>58.161327</v>
      </c>
      <c r="H53" s="55">
        <f t="shared" si="1"/>
        <v>1.1055974485470737E-3</v>
      </c>
    </row>
    <row r="54" spans="2:8">
      <c r="B54" s="54">
        <v>43257</v>
      </c>
      <c r="C54" s="46">
        <v>53.66</v>
      </c>
      <c r="D54" s="55">
        <f t="shared" si="0"/>
        <v>4.3046977353546111E-3</v>
      </c>
      <c r="F54" s="60">
        <v>43257</v>
      </c>
      <c r="G54" s="47">
        <v>58.675217000000004</v>
      </c>
      <c r="H54" s="55">
        <f t="shared" si="1"/>
        <v>8.8355962029546455E-3</v>
      </c>
    </row>
    <row r="55" spans="2:8">
      <c r="B55" s="54">
        <v>43258</v>
      </c>
      <c r="C55" s="46">
        <v>53.950001</v>
      </c>
      <c r="D55" s="55">
        <f t="shared" si="0"/>
        <v>5.4044166977264951E-3</v>
      </c>
      <c r="F55" s="60">
        <v>43258</v>
      </c>
      <c r="G55" s="47">
        <v>58.629322000000002</v>
      </c>
      <c r="H55" s="55">
        <f t="shared" si="1"/>
        <v>-7.8218713703268571E-4</v>
      </c>
    </row>
    <row r="56" spans="2:8">
      <c r="B56" s="54">
        <v>43259</v>
      </c>
      <c r="C56" s="46">
        <v>54.349997999999999</v>
      </c>
      <c r="D56" s="55">
        <f t="shared" si="0"/>
        <v>7.4142167300423039E-3</v>
      </c>
      <c r="F56" s="60">
        <v>43259</v>
      </c>
      <c r="G56" s="47">
        <v>58.803696000000002</v>
      </c>
      <c r="H56" s="55">
        <f t="shared" si="1"/>
        <v>2.9741773237630183E-3</v>
      </c>
    </row>
    <row r="57" spans="2:8">
      <c r="B57" s="54">
        <v>43262</v>
      </c>
      <c r="C57" s="46">
        <v>54.110000999999997</v>
      </c>
      <c r="D57" s="55">
        <f t="shared" si="0"/>
        <v>-4.4157683317670492E-3</v>
      </c>
      <c r="F57" s="60">
        <v>43262</v>
      </c>
      <c r="G57" s="47">
        <v>58.886276000000002</v>
      </c>
      <c r="H57" s="55">
        <f t="shared" si="1"/>
        <v>1.4043334963162876E-3</v>
      </c>
    </row>
    <row r="58" spans="2:8">
      <c r="B58" s="54">
        <v>43263</v>
      </c>
      <c r="C58" s="46">
        <v>53.889999000000003</v>
      </c>
      <c r="D58" s="55">
        <f t="shared" si="0"/>
        <v>-4.0658287919823517E-3</v>
      </c>
      <c r="F58" s="60">
        <v>43263</v>
      </c>
      <c r="G58" s="47">
        <v>58.996391000000003</v>
      </c>
      <c r="H58" s="55">
        <f t="shared" si="1"/>
        <v>1.8699603282775158E-3</v>
      </c>
    </row>
    <row r="59" spans="2:8">
      <c r="B59" s="54">
        <v>43264</v>
      </c>
      <c r="C59" s="46">
        <v>53.07</v>
      </c>
      <c r="D59" s="55">
        <f t="shared" si="0"/>
        <v>-1.521616283570543E-2</v>
      </c>
      <c r="F59" s="60">
        <v>43264</v>
      </c>
      <c r="G59" s="47">
        <v>58.757804999999998</v>
      </c>
      <c r="H59" s="55">
        <f t="shared" si="1"/>
        <v>-4.0440778826624337E-3</v>
      </c>
    </row>
    <row r="60" spans="2:8">
      <c r="B60" s="54">
        <v>43265</v>
      </c>
      <c r="C60" s="46">
        <v>53.5</v>
      </c>
      <c r="D60" s="55">
        <f t="shared" si="0"/>
        <v>8.1025061239871805E-3</v>
      </c>
      <c r="F60" s="60">
        <v>43265</v>
      </c>
      <c r="G60" s="47">
        <v>58.959685999999998</v>
      </c>
      <c r="H60" s="55">
        <f t="shared" si="1"/>
        <v>3.4358158886296079E-3</v>
      </c>
    </row>
    <row r="61" spans="2:8">
      <c r="B61" s="54">
        <v>43266</v>
      </c>
      <c r="C61" s="46">
        <v>53.029998999999997</v>
      </c>
      <c r="D61" s="55">
        <f t="shared" si="0"/>
        <v>-8.7850654205608118E-3</v>
      </c>
      <c r="F61" s="60">
        <v>43266</v>
      </c>
      <c r="G61" s="47">
        <v>58.895454000000001</v>
      </c>
      <c r="H61" s="55">
        <f t="shared" si="1"/>
        <v>-1.0894223554717873E-3</v>
      </c>
    </row>
    <row r="62" spans="2:8">
      <c r="B62" s="54">
        <v>43269</v>
      </c>
      <c r="C62" s="46">
        <v>53.18</v>
      </c>
      <c r="D62" s="55">
        <f t="shared" si="0"/>
        <v>2.8286065025195112E-3</v>
      </c>
      <c r="F62" s="60">
        <v>43269</v>
      </c>
      <c r="G62" s="47">
        <v>58.849564000000001</v>
      </c>
      <c r="H62" s="55">
        <f t="shared" si="1"/>
        <v>-7.7917728590732975E-4</v>
      </c>
    </row>
    <row r="63" spans="2:8">
      <c r="B63" s="54">
        <v>43270</v>
      </c>
      <c r="C63" s="46">
        <v>53.32</v>
      </c>
      <c r="D63" s="55">
        <f t="shared" si="0"/>
        <v>2.6325686348251331E-3</v>
      </c>
      <c r="F63" s="60">
        <v>43270</v>
      </c>
      <c r="G63" s="47">
        <v>58.629322000000002</v>
      </c>
      <c r="H63" s="55">
        <f t="shared" si="1"/>
        <v>-3.7424576331610364E-3</v>
      </c>
    </row>
    <row r="64" spans="2:8">
      <c r="B64" s="54">
        <v>43271</v>
      </c>
      <c r="C64" s="46">
        <v>53.880001</v>
      </c>
      <c r="D64" s="55">
        <f t="shared" si="0"/>
        <v>1.050264441110277E-2</v>
      </c>
      <c r="F64" s="60">
        <v>43271</v>
      </c>
      <c r="G64" s="47">
        <v>58.794517999999997</v>
      </c>
      <c r="H64" s="55">
        <f t="shared" si="1"/>
        <v>2.8176344935388229E-3</v>
      </c>
    </row>
    <row r="65" spans="2:8">
      <c r="B65" s="54">
        <v>43272</v>
      </c>
      <c r="C65" s="46">
        <v>53.919998</v>
      </c>
      <c r="D65" s="55">
        <f t="shared" si="0"/>
        <v>7.4233480433676341E-4</v>
      </c>
      <c r="F65" s="60">
        <v>43272</v>
      </c>
      <c r="G65" s="47">
        <v>58.381560999999998</v>
      </c>
      <c r="H65" s="55">
        <f t="shared" si="1"/>
        <v>-7.0237330630042536E-3</v>
      </c>
    </row>
    <row r="66" spans="2:8">
      <c r="B66" s="54">
        <v>43273</v>
      </c>
      <c r="C66" s="46">
        <v>55.369999</v>
      </c>
      <c r="D66" s="55">
        <f t="shared" si="0"/>
        <v>2.6891710938119848E-2</v>
      </c>
      <c r="F66" s="60">
        <v>43273</v>
      </c>
      <c r="G66" s="47">
        <v>58.427444000000001</v>
      </c>
      <c r="H66" s="55">
        <f t="shared" si="1"/>
        <v>7.8591595041460865E-4</v>
      </c>
    </row>
    <row r="67" spans="2:8">
      <c r="B67" s="54">
        <v>43276</v>
      </c>
      <c r="C67" s="46">
        <v>54.93</v>
      </c>
      <c r="D67" s="55">
        <f t="shared" si="0"/>
        <v>-7.9465235316330818E-3</v>
      </c>
      <c r="F67" s="60">
        <v>43276</v>
      </c>
      <c r="G67" s="47">
        <v>57.629078</v>
      </c>
      <c r="H67" s="55">
        <f t="shared" si="1"/>
        <v>-1.3664229433004145E-2</v>
      </c>
    </row>
    <row r="68" spans="2:8">
      <c r="B68" s="54">
        <v>43277</v>
      </c>
      <c r="C68" s="46">
        <v>54.759998000000003</v>
      </c>
      <c r="D68" s="55">
        <f t="shared" si="0"/>
        <v>-3.0948843983250804E-3</v>
      </c>
      <c r="F68" s="60">
        <v>43277</v>
      </c>
      <c r="G68" s="47">
        <v>57.757174999999997</v>
      </c>
      <c r="H68" s="55">
        <f t="shared" si="1"/>
        <v>2.2227841299143603E-3</v>
      </c>
    </row>
    <row r="69" spans="2:8">
      <c r="B69" s="54">
        <v>43278</v>
      </c>
      <c r="C69" s="46">
        <v>53.889999000000003</v>
      </c>
      <c r="D69" s="55">
        <f t="shared" si="0"/>
        <v>-1.5887491449506626E-2</v>
      </c>
      <c r="F69" s="60">
        <v>43278</v>
      </c>
      <c r="G69" s="47">
        <v>57.222724999999997</v>
      </c>
      <c r="H69" s="55">
        <f t="shared" si="1"/>
        <v>-9.2533957902199981E-3</v>
      </c>
    </row>
    <row r="70" spans="2:8">
      <c r="B70" s="54">
        <v>43279</v>
      </c>
      <c r="C70" s="46">
        <v>54.369999</v>
      </c>
      <c r="D70" s="55">
        <f t="shared" ref="D70:D133" si="2">(C70-C69)/C69</f>
        <v>8.9070330099652976E-3</v>
      </c>
      <c r="F70" s="60">
        <v>43279</v>
      </c>
      <c r="G70" s="47">
        <v>57.563659999999999</v>
      </c>
      <c r="H70" s="55">
        <f t="shared" ref="H70:H133" si="3">(G70-G69)/G69</f>
        <v>5.9580350289155535E-3</v>
      </c>
    </row>
    <row r="71" spans="2:8">
      <c r="B71" s="54">
        <v>43280</v>
      </c>
      <c r="C71" s="46">
        <v>55.549999</v>
      </c>
      <c r="D71" s="55">
        <f t="shared" si="2"/>
        <v>2.1703145515967359E-2</v>
      </c>
      <c r="F71" s="60">
        <v>43280</v>
      </c>
      <c r="G71" s="47">
        <v>57.609734000000003</v>
      </c>
      <c r="H71" s="55">
        <f t="shared" si="3"/>
        <v>8.0040080842678162E-4</v>
      </c>
    </row>
    <row r="72" spans="2:8">
      <c r="B72" s="54">
        <v>43283</v>
      </c>
      <c r="C72" s="46">
        <v>55.419998</v>
      </c>
      <c r="D72" s="55">
        <f t="shared" si="2"/>
        <v>-2.3402520673312709E-3</v>
      </c>
      <c r="F72" s="60">
        <v>43283</v>
      </c>
      <c r="G72" s="47">
        <v>57.794021999999998</v>
      </c>
      <c r="H72" s="55">
        <f t="shared" si="3"/>
        <v>3.1989038519079972E-3</v>
      </c>
    </row>
    <row r="73" spans="2:8">
      <c r="B73" s="54">
        <v>43284</v>
      </c>
      <c r="C73" s="46">
        <v>55.490001999999997</v>
      </c>
      <c r="D73" s="55">
        <f t="shared" si="2"/>
        <v>1.263154141578953E-3</v>
      </c>
      <c r="F73" s="60">
        <v>43284</v>
      </c>
      <c r="G73" s="47">
        <v>57.600524999999998</v>
      </c>
      <c r="H73" s="55">
        <f t="shared" si="3"/>
        <v>-3.3480452355435777E-3</v>
      </c>
    </row>
    <row r="74" spans="2:8">
      <c r="B74" s="54">
        <v>43286</v>
      </c>
      <c r="C74" s="46">
        <v>56.5</v>
      </c>
      <c r="D74" s="55">
        <f t="shared" si="2"/>
        <v>1.8201441045181493E-2</v>
      </c>
      <c r="F74" s="60">
        <v>43286</v>
      </c>
      <c r="G74" s="47">
        <v>58.079681000000001</v>
      </c>
      <c r="H74" s="55">
        <f t="shared" si="3"/>
        <v>8.3186047349395383E-3</v>
      </c>
    </row>
    <row r="75" spans="2:8">
      <c r="B75" s="54">
        <v>43287</v>
      </c>
      <c r="C75" s="46">
        <v>56.529998999999997</v>
      </c>
      <c r="D75" s="55">
        <f t="shared" si="2"/>
        <v>5.309557522123284E-4</v>
      </c>
      <c r="F75" s="60">
        <v>43287</v>
      </c>
      <c r="G75" s="47">
        <v>58.586478999999997</v>
      </c>
      <c r="H75" s="55">
        <f t="shared" si="3"/>
        <v>8.7259088079357106E-3</v>
      </c>
    </row>
    <row r="76" spans="2:8">
      <c r="B76" s="54">
        <v>43290</v>
      </c>
      <c r="C76" s="46">
        <v>57.189999</v>
      </c>
      <c r="D76" s="55">
        <f t="shared" si="2"/>
        <v>1.1675216905629235E-2</v>
      </c>
      <c r="F76" s="60">
        <v>43290</v>
      </c>
      <c r="G76" s="47">
        <v>59.139358999999999</v>
      </c>
      <c r="H76" s="55">
        <f t="shared" si="3"/>
        <v>9.4369897190783869E-3</v>
      </c>
    </row>
    <row r="77" spans="2:8">
      <c r="B77" s="54">
        <v>43291</v>
      </c>
      <c r="C77" s="46">
        <v>56.709999000000003</v>
      </c>
      <c r="D77" s="55">
        <f t="shared" si="2"/>
        <v>-8.3930758592948539E-3</v>
      </c>
      <c r="F77" s="60">
        <v>43291</v>
      </c>
      <c r="G77" s="47">
        <v>59.259143999999999</v>
      </c>
      <c r="H77" s="55">
        <f t="shared" si="3"/>
        <v>2.0254700427172409E-3</v>
      </c>
    </row>
    <row r="78" spans="2:8">
      <c r="B78" s="54">
        <v>43292</v>
      </c>
      <c r="C78" s="46">
        <v>56.689999</v>
      </c>
      <c r="D78" s="55">
        <f t="shared" si="2"/>
        <v>-3.5267149272922974E-4</v>
      </c>
      <c r="F78" s="60">
        <v>43292</v>
      </c>
      <c r="G78" s="47">
        <v>58.853706000000003</v>
      </c>
      <c r="H78" s="55">
        <f t="shared" si="3"/>
        <v>-6.8417795572611826E-3</v>
      </c>
    </row>
    <row r="79" spans="2:8">
      <c r="B79" s="54">
        <v>43293</v>
      </c>
      <c r="C79" s="46">
        <v>57.009998000000003</v>
      </c>
      <c r="D79" s="55">
        <f t="shared" si="2"/>
        <v>5.6447169808558793E-3</v>
      </c>
      <c r="F79" s="60">
        <v>43293</v>
      </c>
      <c r="G79" s="47">
        <v>59.332863000000003</v>
      </c>
      <c r="H79" s="55">
        <f t="shared" si="3"/>
        <v>8.1414923981167932E-3</v>
      </c>
    </row>
    <row r="80" spans="2:8">
      <c r="B80" s="54">
        <v>43294</v>
      </c>
      <c r="C80" s="46">
        <v>57.279998999999997</v>
      </c>
      <c r="D80" s="55">
        <f t="shared" si="2"/>
        <v>4.7360289330301937E-3</v>
      </c>
      <c r="F80" s="60">
        <v>43294</v>
      </c>
      <c r="G80" s="47">
        <v>59.388165000000001</v>
      </c>
      <c r="H80" s="55">
        <f t="shared" si="3"/>
        <v>9.3206356821172638E-4</v>
      </c>
    </row>
    <row r="81" spans="2:8">
      <c r="B81" s="54">
        <v>43297</v>
      </c>
      <c r="C81" s="46">
        <v>56.720001000000003</v>
      </c>
      <c r="D81" s="55">
        <f t="shared" si="2"/>
        <v>-9.7765015673270724E-3</v>
      </c>
      <c r="F81" s="60">
        <v>43297</v>
      </c>
      <c r="G81" s="47">
        <v>59.268363999999998</v>
      </c>
      <c r="H81" s="55">
        <f t="shared" si="3"/>
        <v>-2.0172537743842144E-3</v>
      </c>
    </row>
    <row r="82" spans="2:8">
      <c r="B82" s="54">
        <v>43298</v>
      </c>
      <c r="C82" s="46">
        <v>56.41</v>
      </c>
      <c r="D82" s="55">
        <f t="shared" si="2"/>
        <v>-5.4654618218361248E-3</v>
      </c>
      <c r="F82" s="60">
        <v>43298</v>
      </c>
      <c r="G82" s="47">
        <v>59.526370999999997</v>
      </c>
      <c r="H82" s="55">
        <f t="shared" si="3"/>
        <v>4.3531992885782918E-3</v>
      </c>
    </row>
    <row r="83" spans="2:8">
      <c r="B83" s="54">
        <v>43299</v>
      </c>
      <c r="C83" s="46">
        <v>55.73</v>
      </c>
      <c r="D83" s="55">
        <f t="shared" si="2"/>
        <v>-1.2054600248182942E-2</v>
      </c>
      <c r="F83" s="60">
        <v>43299</v>
      </c>
      <c r="G83" s="47">
        <v>59.673808999999999</v>
      </c>
      <c r="H83" s="55">
        <f t="shared" si="3"/>
        <v>2.476851814131271E-3</v>
      </c>
    </row>
    <row r="84" spans="2:8">
      <c r="B84" s="54">
        <v>43300</v>
      </c>
      <c r="C84" s="46">
        <v>56.330002</v>
      </c>
      <c r="D84" s="55">
        <f t="shared" si="2"/>
        <v>1.0766230037681743E-2</v>
      </c>
      <c r="F84" s="60">
        <v>43300</v>
      </c>
      <c r="G84" s="47">
        <v>59.526370999999997</v>
      </c>
      <c r="H84" s="55">
        <f t="shared" si="3"/>
        <v>-2.4707321766572849E-3</v>
      </c>
    </row>
    <row r="85" spans="2:8">
      <c r="B85" s="54">
        <v>43301</v>
      </c>
      <c r="C85" s="46">
        <v>56.970001000000003</v>
      </c>
      <c r="D85" s="55">
        <f t="shared" si="2"/>
        <v>1.136160087478788E-2</v>
      </c>
      <c r="F85" s="60">
        <v>43301</v>
      </c>
      <c r="G85" s="47">
        <v>59.434227</v>
      </c>
      <c r="H85" s="55">
        <f t="shared" si="3"/>
        <v>-1.5479525872658618E-3</v>
      </c>
    </row>
    <row r="86" spans="2:8">
      <c r="B86" s="54">
        <v>43304</v>
      </c>
      <c r="C86" s="46">
        <v>56.700001</v>
      </c>
      <c r="D86" s="55">
        <f t="shared" si="2"/>
        <v>-4.7393364097010129E-3</v>
      </c>
      <c r="F86" s="60">
        <v>43304</v>
      </c>
      <c r="G86" s="47">
        <v>59.517166000000003</v>
      </c>
      <c r="H86" s="55">
        <f t="shared" si="3"/>
        <v>1.3954753714556295E-3</v>
      </c>
    </row>
    <row r="87" spans="2:8">
      <c r="B87" s="54">
        <v>43305</v>
      </c>
      <c r="C87" s="46">
        <v>55.82</v>
      </c>
      <c r="D87" s="55">
        <f t="shared" si="2"/>
        <v>-1.5520299549906535E-2</v>
      </c>
      <c r="F87" s="60">
        <v>43305</v>
      </c>
      <c r="G87" s="47">
        <v>59.655372999999997</v>
      </c>
      <c r="H87" s="55">
        <f t="shared" si="3"/>
        <v>2.3221367764720887E-3</v>
      </c>
    </row>
    <row r="88" spans="2:8">
      <c r="B88" s="54">
        <v>43306</v>
      </c>
      <c r="C88" s="46">
        <v>55.950001</v>
      </c>
      <c r="D88" s="55">
        <f t="shared" si="2"/>
        <v>2.3289322823360809E-3</v>
      </c>
      <c r="F88" s="60">
        <v>43306</v>
      </c>
      <c r="G88" s="47">
        <v>60.143742000000003</v>
      </c>
      <c r="H88" s="55">
        <f t="shared" si="3"/>
        <v>8.1865048434112686E-3</v>
      </c>
    </row>
    <row r="89" spans="2:8">
      <c r="B89" s="54">
        <v>43307</v>
      </c>
      <c r="C89" s="46">
        <v>56.240001999999997</v>
      </c>
      <c r="D89" s="55">
        <f t="shared" si="2"/>
        <v>5.1832170655367214E-3</v>
      </c>
      <c r="F89" s="60">
        <v>43307</v>
      </c>
      <c r="G89" s="47">
        <v>60.033175999999997</v>
      </c>
      <c r="H89" s="55">
        <f t="shared" si="3"/>
        <v>-1.8383625016216269E-3</v>
      </c>
    </row>
    <row r="90" spans="2:8">
      <c r="B90" s="54">
        <v>43308</v>
      </c>
      <c r="C90" s="46">
        <v>56.349997999999999</v>
      </c>
      <c r="D90" s="55">
        <f t="shared" si="2"/>
        <v>1.9558320783843934E-3</v>
      </c>
      <c r="F90" s="60">
        <v>43308</v>
      </c>
      <c r="G90" s="47">
        <v>59.563229</v>
      </c>
      <c r="H90" s="55">
        <f t="shared" si="3"/>
        <v>-7.8281215706461661E-3</v>
      </c>
    </row>
    <row r="91" spans="2:8">
      <c r="B91" s="54">
        <v>43311</v>
      </c>
      <c r="C91" s="46">
        <v>55.990001999999997</v>
      </c>
      <c r="D91" s="55">
        <f t="shared" si="2"/>
        <v>-6.3885716553175823E-3</v>
      </c>
      <c r="F91" s="60">
        <v>43311</v>
      </c>
      <c r="G91" s="47">
        <v>59.203861000000003</v>
      </c>
      <c r="H91" s="55">
        <f t="shared" si="3"/>
        <v>-6.03338680648083E-3</v>
      </c>
    </row>
    <row r="92" spans="2:8">
      <c r="B92" s="54">
        <v>43312</v>
      </c>
      <c r="C92" s="46">
        <v>56.93</v>
      </c>
      <c r="D92" s="55">
        <f t="shared" si="2"/>
        <v>1.6788675949681208E-2</v>
      </c>
      <c r="F92" s="60">
        <v>43312</v>
      </c>
      <c r="G92" s="47">
        <v>59.507942</v>
      </c>
      <c r="H92" s="55">
        <f t="shared" si="3"/>
        <v>5.1361683995575303E-3</v>
      </c>
    </row>
    <row r="93" spans="2:8">
      <c r="B93" s="54">
        <v>43313</v>
      </c>
      <c r="C93" s="46">
        <v>63.459999000000003</v>
      </c>
      <c r="D93" s="55">
        <f t="shared" si="2"/>
        <v>0.11470224837519767</v>
      </c>
      <c r="F93" s="60">
        <v>43313</v>
      </c>
      <c r="G93" s="47">
        <v>59.480300999999997</v>
      </c>
      <c r="H93" s="55">
        <f t="shared" si="3"/>
        <v>-4.6449262184201717E-4</v>
      </c>
    </row>
    <row r="94" spans="2:8">
      <c r="B94" s="54">
        <v>43314</v>
      </c>
      <c r="C94" s="46">
        <v>62.48</v>
      </c>
      <c r="D94" s="55">
        <f t="shared" si="2"/>
        <v>-1.5442783098688774E-2</v>
      </c>
      <c r="F94" s="60">
        <v>43314</v>
      </c>
      <c r="G94" s="47">
        <v>59.830455999999998</v>
      </c>
      <c r="H94" s="55">
        <f t="shared" si="3"/>
        <v>5.8869069946367774E-3</v>
      </c>
    </row>
    <row r="95" spans="2:8">
      <c r="B95" s="54">
        <v>43315</v>
      </c>
      <c r="C95" s="46">
        <v>61.790000999999997</v>
      </c>
      <c r="D95" s="55">
        <f t="shared" si="2"/>
        <v>-1.104351792573624E-2</v>
      </c>
      <c r="F95" s="60">
        <v>43315</v>
      </c>
      <c r="G95" s="47">
        <v>60.023955999999998</v>
      </c>
      <c r="H95" s="55">
        <f t="shared" si="3"/>
        <v>3.2341388138509295E-3</v>
      </c>
    </row>
    <row r="96" spans="2:8">
      <c r="B96" s="54">
        <v>43318</v>
      </c>
      <c r="C96" s="46">
        <v>62</v>
      </c>
      <c r="D96" s="55">
        <f t="shared" si="2"/>
        <v>3.3985919501765892E-3</v>
      </c>
      <c r="F96" s="60">
        <v>43318</v>
      </c>
      <c r="G96" s="47">
        <v>60.300404</v>
      </c>
      <c r="H96" s="55">
        <f t="shared" si="3"/>
        <v>4.6056277930098784E-3</v>
      </c>
    </row>
    <row r="97" spans="2:8">
      <c r="B97" s="54">
        <v>43319</v>
      </c>
      <c r="C97" s="46">
        <v>61.860000999999997</v>
      </c>
      <c r="D97" s="55">
        <f t="shared" si="2"/>
        <v>-2.2580483870968241E-3</v>
      </c>
      <c r="F97" s="60">
        <v>43319</v>
      </c>
      <c r="G97" s="47">
        <v>60.466262999999998</v>
      </c>
      <c r="H97" s="55">
        <f t="shared" si="3"/>
        <v>2.7505454192313129E-3</v>
      </c>
    </row>
    <row r="98" spans="2:8">
      <c r="B98" s="54">
        <v>43320</v>
      </c>
      <c r="C98" s="46">
        <v>61.59</v>
      </c>
      <c r="D98" s="55">
        <f t="shared" si="2"/>
        <v>-4.3647105663640953E-3</v>
      </c>
      <c r="F98" s="60">
        <v>43320</v>
      </c>
      <c r="G98" s="47">
        <v>60.447830000000003</v>
      </c>
      <c r="H98" s="55">
        <f t="shared" si="3"/>
        <v>-3.0484768010211901E-4</v>
      </c>
    </row>
    <row r="99" spans="2:8">
      <c r="B99" s="54">
        <v>43321</v>
      </c>
      <c r="C99" s="46">
        <v>61.43</v>
      </c>
      <c r="D99" s="55">
        <f t="shared" si="2"/>
        <v>-2.5978243221302759E-3</v>
      </c>
      <c r="F99" s="60">
        <v>43321</v>
      </c>
      <c r="G99" s="47">
        <v>60.401749000000002</v>
      </c>
      <c r="H99" s="55">
        <f t="shared" si="3"/>
        <v>-7.6232678658606811E-4</v>
      </c>
    </row>
    <row r="100" spans="2:8">
      <c r="B100" s="54">
        <v>43322</v>
      </c>
      <c r="C100" s="46">
        <v>61.93</v>
      </c>
      <c r="D100" s="55">
        <f t="shared" si="2"/>
        <v>8.1393455966140317E-3</v>
      </c>
      <c r="F100" s="60">
        <v>43322</v>
      </c>
      <c r="G100" s="47">
        <v>60.033175999999997</v>
      </c>
      <c r="H100" s="55">
        <f t="shared" si="3"/>
        <v>-6.1020252906915807E-3</v>
      </c>
    </row>
    <row r="101" spans="2:8">
      <c r="B101" s="54">
        <v>43325</v>
      </c>
      <c r="C101" s="46">
        <v>62.029998999999997</v>
      </c>
      <c r="D101" s="55">
        <f t="shared" si="2"/>
        <v>1.6147101566284005E-3</v>
      </c>
      <c r="F101" s="60">
        <v>43325</v>
      </c>
      <c r="G101" s="47">
        <v>59.765953000000003</v>
      </c>
      <c r="H101" s="55">
        <f t="shared" si="3"/>
        <v>-4.4512554191701303E-3</v>
      </c>
    </row>
    <row r="102" spans="2:8">
      <c r="B102" s="54">
        <v>43326</v>
      </c>
      <c r="C102" s="46">
        <v>63.049999</v>
      </c>
      <c r="D102" s="55">
        <f t="shared" si="2"/>
        <v>1.6443656560433013E-2</v>
      </c>
      <c r="F102" s="60">
        <v>43326</v>
      </c>
      <c r="G102" s="47">
        <v>60.152957999999998</v>
      </c>
      <c r="H102" s="55">
        <f t="shared" si="3"/>
        <v>6.4753422404223177E-3</v>
      </c>
    </row>
    <row r="103" spans="2:8">
      <c r="B103" s="54">
        <v>43327</v>
      </c>
      <c r="C103" s="46">
        <v>62.93</v>
      </c>
      <c r="D103" s="55">
        <f t="shared" si="2"/>
        <v>-1.9032355575453691E-3</v>
      </c>
      <c r="F103" s="60">
        <v>43327</v>
      </c>
      <c r="G103" s="47">
        <v>59.710673999999997</v>
      </c>
      <c r="H103" s="55">
        <f t="shared" si="3"/>
        <v>-7.3526558743794582E-3</v>
      </c>
    </row>
    <row r="104" spans="2:8">
      <c r="B104" s="54">
        <v>43328</v>
      </c>
      <c r="C104" s="46">
        <v>63.029998999999997</v>
      </c>
      <c r="D104" s="55">
        <f t="shared" si="2"/>
        <v>1.5890513268710764E-3</v>
      </c>
      <c r="F104" s="60">
        <v>43328</v>
      </c>
      <c r="G104" s="47">
        <v>60.189816</v>
      </c>
      <c r="H104" s="55">
        <f t="shared" si="3"/>
        <v>8.0243944323924905E-3</v>
      </c>
    </row>
    <row r="105" spans="2:8">
      <c r="B105" s="54">
        <v>43329</v>
      </c>
      <c r="C105" s="46">
        <v>63.450001</v>
      </c>
      <c r="D105" s="55">
        <f t="shared" si="2"/>
        <v>6.663525411130084E-3</v>
      </c>
      <c r="F105" s="60">
        <v>43329</v>
      </c>
      <c r="G105" s="47">
        <v>60.392536</v>
      </c>
      <c r="H105" s="55">
        <f t="shared" si="3"/>
        <v>3.3680116250895224E-3</v>
      </c>
    </row>
    <row r="106" spans="2:8">
      <c r="B106" s="54">
        <v>43332</v>
      </c>
      <c r="C106" s="46">
        <v>63.799999</v>
      </c>
      <c r="D106" s="55">
        <f t="shared" si="2"/>
        <v>5.5161228445055402E-3</v>
      </c>
      <c r="F106" s="60">
        <v>43332</v>
      </c>
      <c r="G106" s="47">
        <v>60.558413999999999</v>
      </c>
      <c r="H106" s="55">
        <f t="shared" si="3"/>
        <v>2.746663925489059E-3</v>
      </c>
    </row>
    <row r="107" spans="2:8">
      <c r="B107" s="54">
        <v>43333</v>
      </c>
      <c r="C107" s="46">
        <v>65</v>
      </c>
      <c r="D107" s="55">
        <f t="shared" si="2"/>
        <v>1.8808793398256956E-2</v>
      </c>
      <c r="F107" s="60">
        <v>43333</v>
      </c>
      <c r="G107" s="47">
        <v>60.751914999999997</v>
      </c>
      <c r="H107" s="55">
        <f t="shared" si="3"/>
        <v>3.1952785289257692E-3</v>
      </c>
    </row>
    <row r="108" spans="2:8">
      <c r="B108" s="54">
        <v>43334</v>
      </c>
      <c r="C108" s="46">
        <v>66.349997999999999</v>
      </c>
      <c r="D108" s="55">
        <f t="shared" si="2"/>
        <v>2.0769199999999991E-2</v>
      </c>
      <c r="F108" s="60">
        <v>43334</v>
      </c>
      <c r="G108" s="47">
        <v>60.761111999999997</v>
      </c>
      <c r="H108" s="55">
        <f t="shared" si="3"/>
        <v>1.5138617441113329E-4</v>
      </c>
    </row>
    <row r="109" spans="2:8">
      <c r="B109" s="54">
        <v>43335</v>
      </c>
      <c r="C109" s="46">
        <v>67.010002</v>
      </c>
      <c r="D109" s="55">
        <f t="shared" si="2"/>
        <v>9.9473100210191526E-3</v>
      </c>
      <c r="F109" s="60">
        <v>43335</v>
      </c>
      <c r="G109" s="47">
        <v>60.622920999999998</v>
      </c>
      <c r="H109" s="55">
        <f t="shared" si="3"/>
        <v>-2.2743329648081336E-3</v>
      </c>
    </row>
    <row r="110" spans="2:8">
      <c r="B110" s="54">
        <v>43336</v>
      </c>
      <c r="C110" s="46">
        <v>67.690002000000007</v>
      </c>
      <c r="D110" s="55">
        <f t="shared" si="2"/>
        <v>1.0147738840539161E-2</v>
      </c>
      <c r="F110" s="60">
        <v>43336</v>
      </c>
      <c r="G110" s="47">
        <v>61.000706000000001</v>
      </c>
      <c r="H110" s="55">
        <f t="shared" si="3"/>
        <v>6.2317188576248728E-3</v>
      </c>
    </row>
    <row r="111" spans="2:8">
      <c r="B111" s="54">
        <v>43339</v>
      </c>
      <c r="C111" s="46">
        <v>68.599997999999999</v>
      </c>
      <c r="D111" s="55">
        <f t="shared" si="2"/>
        <v>1.3443580633961163E-2</v>
      </c>
      <c r="F111" s="60">
        <v>43339</v>
      </c>
      <c r="G111" s="47">
        <v>61.452232000000002</v>
      </c>
      <c r="H111" s="55">
        <f t="shared" si="3"/>
        <v>7.4019799049539065E-3</v>
      </c>
    </row>
    <row r="112" spans="2:8">
      <c r="B112" s="54">
        <v>43340</v>
      </c>
      <c r="C112" s="46">
        <v>68.650002000000001</v>
      </c>
      <c r="D112" s="55">
        <f t="shared" si="2"/>
        <v>7.2892130405020233E-4</v>
      </c>
      <c r="F112" s="60">
        <v>43340</v>
      </c>
      <c r="G112" s="47">
        <v>61.452232000000002</v>
      </c>
      <c r="H112" s="55">
        <f t="shared" si="3"/>
        <v>0</v>
      </c>
    </row>
    <row r="113" spans="2:8">
      <c r="B113" s="54">
        <v>43341</v>
      </c>
      <c r="C113" s="46">
        <v>68.949996999999996</v>
      </c>
      <c r="D113" s="55">
        <f t="shared" si="2"/>
        <v>4.3699197561566797E-3</v>
      </c>
      <c r="F113" s="60">
        <v>43341</v>
      </c>
      <c r="G113" s="47">
        <v>61.802368000000001</v>
      </c>
      <c r="H113" s="55">
        <f t="shared" si="3"/>
        <v>5.6976937794545705E-3</v>
      </c>
    </row>
    <row r="114" spans="2:8">
      <c r="B114" s="54">
        <v>43342</v>
      </c>
      <c r="C114" s="46">
        <v>68.430000000000007</v>
      </c>
      <c r="D114" s="55">
        <f t="shared" si="2"/>
        <v>-7.5416537001443146E-3</v>
      </c>
      <c r="F114" s="60">
        <v>43342</v>
      </c>
      <c r="G114" s="47">
        <v>61.56279</v>
      </c>
      <c r="H114" s="55">
        <f t="shared" si="3"/>
        <v>-3.8765181295318915E-3</v>
      </c>
    </row>
    <row r="115" spans="2:8">
      <c r="B115" s="54">
        <v>43343</v>
      </c>
      <c r="C115" s="46">
        <v>68.589995999999999</v>
      </c>
      <c r="D115" s="55">
        <f t="shared" si="2"/>
        <v>2.3380973257342169E-3</v>
      </c>
      <c r="F115" s="60">
        <v>43343</v>
      </c>
      <c r="G115" s="47">
        <v>61.581229999999998</v>
      </c>
      <c r="H115" s="55">
        <f t="shared" si="3"/>
        <v>2.9953158393240846E-4</v>
      </c>
    </row>
    <row r="116" spans="2:8">
      <c r="B116" s="54">
        <v>43347</v>
      </c>
      <c r="C116" s="46">
        <v>69.080001999999993</v>
      </c>
      <c r="D116" s="55">
        <f t="shared" si="2"/>
        <v>7.1439864204102584E-3</v>
      </c>
      <c r="F116" s="60">
        <v>43347</v>
      </c>
      <c r="G116" s="47">
        <v>61.479877000000002</v>
      </c>
      <c r="H116" s="55">
        <f t="shared" si="3"/>
        <v>-1.6458424100979476E-3</v>
      </c>
    </row>
    <row r="117" spans="2:8">
      <c r="B117" s="54">
        <v>43348</v>
      </c>
      <c r="C117" s="46">
        <v>69.989998</v>
      </c>
      <c r="D117" s="55">
        <f t="shared" si="2"/>
        <v>1.3173074314618676E-2</v>
      </c>
      <c r="F117" s="60">
        <v>43348</v>
      </c>
      <c r="G117" s="47">
        <v>61.313994999999998</v>
      </c>
      <c r="H117" s="55">
        <f t="shared" si="3"/>
        <v>-2.6981511365093236E-3</v>
      </c>
    </row>
    <row r="118" spans="2:8">
      <c r="B118" s="54">
        <v>43349</v>
      </c>
      <c r="C118" s="46">
        <v>69.720000999999996</v>
      </c>
      <c r="D118" s="55">
        <f t="shared" si="2"/>
        <v>-3.8576512032476927E-3</v>
      </c>
      <c r="F118" s="60">
        <v>43349</v>
      </c>
      <c r="G118" s="47">
        <v>61.083637000000003</v>
      </c>
      <c r="H118" s="55">
        <f t="shared" si="3"/>
        <v>-3.7570215413299263E-3</v>
      </c>
    </row>
    <row r="119" spans="2:8">
      <c r="B119" s="54">
        <v>43350</v>
      </c>
      <c r="C119" s="46">
        <v>72.029999000000004</v>
      </c>
      <c r="D119" s="55">
        <f t="shared" si="2"/>
        <v>3.3132500959086437E-2</v>
      </c>
      <c r="F119" s="60">
        <v>43350</v>
      </c>
      <c r="G119" s="47">
        <v>60.954631999999997</v>
      </c>
      <c r="H119" s="55">
        <f t="shared" si="3"/>
        <v>-2.1119403875706757E-3</v>
      </c>
    </row>
    <row r="120" spans="2:8">
      <c r="B120" s="54">
        <v>43353</v>
      </c>
      <c r="C120" s="46">
        <v>71.080001999999993</v>
      </c>
      <c r="D120" s="55">
        <f t="shared" si="2"/>
        <v>-1.3188907582797695E-2</v>
      </c>
      <c r="F120" s="60">
        <v>43353</v>
      </c>
      <c r="G120" s="47">
        <v>61.092860999999999</v>
      </c>
      <c r="H120" s="55">
        <f t="shared" si="3"/>
        <v>2.2677357809329831E-3</v>
      </c>
    </row>
    <row r="121" spans="2:8">
      <c r="B121" s="54">
        <v>43354</v>
      </c>
      <c r="C121" s="46">
        <v>71.190002000000007</v>
      </c>
      <c r="D121" s="55">
        <f t="shared" si="2"/>
        <v>1.5475520104798767E-3</v>
      </c>
      <c r="F121" s="60">
        <v>43354</v>
      </c>
      <c r="G121" s="47">
        <v>61.277141999999998</v>
      </c>
      <c r="H121" s="55">
        <f t="shared" si="3"/>
        <v>3.0164080873540788E-3</v>
      </c>
    </row>
    <row r="122" spans="2:8">
      <c r="B122" s="54">
        <v>43355</v>
      </c>
      <c r="C122" s="46">
        <v>70.040001000000004</v>
      </c>
      <c r="D122" s="55">
        <f t="shared" si="2"/>
        <v>-1.6153967800141417E-2</v>
      </c>
      <c r="F122" s="60">
        <v>43355</v>
      </c>
      <c r="G122" s="47">
        <v>61.295574000000002</v>
      </c>
      <c r="H122" s="55">
        <f t="shared" si="3"/>
        <v>3.0079731851730655E-4</v>
      </c>
    </row>
    <row r="123" spans="2:8">
      <c r="B123" s="54">
        <v>43356</v>
      </c>
      <c r="C123" s="46">
        <v>69.470000999999996</v>
      </c>
      <c r="D123" s="55">
        <f t="shared" si="2"/>
        <v>-8.1382066228126888E-3</v>
      </c>
      <c r="F123" s="60">
        <v>43356</v>
      </c>
      <c r="G123" s="47">
        <v>61.599659000000003</v>
      </c>
      <c r="H123" s="55">
        <f t="shared" si="3"/>
        <v>4.9609617816777536E-3</v>
      </c>
    </row>
    <row r="124" spans="2:8">
      <c r="B124" s="54">
        <v>43357</v>
      </c>
      <c r="C124" s="46">
        <v>70.199996999999996</v>
      </c>
      <c r="D124" s="55">
        <f t="shared" si="2"/>
        <v>1.0508075276981785E-2</v>
      </c>
      <c r="F124" s="60">
        <v>43357</v>
      </c>
      <c r="G124" s="47">
        <v>61.645741000000001</v>
      </c>
      <c r="H124" s="55">
        <f t="shared" si="3"/>
        <v>7.4808855678890041E-4</v>
      </c>
    </row>
    <row r="125" spans="2:8">
      <c r="B125" s="54">
        <v>43360</v>
      </c>
      <c r="C125" s="46">
        <v>69.900002000000001</v>
      </c>
      <c r="D125" s="55">
        <f t="shared" si="2"/>
        <v>-4.2734332310583375E-3</v>
      </c>
      <c r="F125" s="60">
        <v>43360</v>
      </c>
      <c r="G125" s="47">
        <v>61.240299</v>
      </c>
      <c r="H125" s="55">
        <f t="shared" si="3"/>
        <v>-6.5769669310974908E-3</v>
      </c>
    </row>
    <row r="126" spans="2:8">
      <c r="B126" s="54">
        <v>43361</v>
      </c>
      <c r="C126" s="46">
        <v>71.410004000000001</v>
      </c>
      <c r="D126" s="55">
        <f t="shared" si="2"/>
        <v>2.1602316978474478E-2</v>
      </c>
      <c r="F126" s="60">
        <v>43361</v>
      </c>
      <c r="G126" s="47">
        <v>61.572006000000002</v>
      </c>
      <c r="H126" s="55">
        <f t="shared" si="3"/>
        <v>5.4164823721713296E-3</v>
      </c>
    </row>
    <row r="127" spans="2:8">
      <c r="B127" s="54">
        <v>43362</v>
      </c>
      <c r="C127" s="46">
        <v>70.019997000000004</v>
      </c>
      <c r="D127" s="55">
        <f t="shared" si="2"/>
        <v>-1.9465157850992378E-2</v>
      </c>
      <c r="F127" s="60">
        <v>43362</v>
      </c>
      <c r="G127" s="47">
        <v>61.618088</v>
      </c>
      <c r="H127" s="55">
        <f t="shared" si="3"/>
        <v>7.4842453565664895E-4</v>
      </c>
    </row>
    <row r="128" spans="2:8">
      <c r="B128" s="54">
        <v>43363</v>
      </c>
      <c r="C128" s="46">
        <v>69.620002999999997</v>
      </c>
      <c r="D128" s="55">
        <f t="shared" si="2"/>
        <v>-5.7125680825151504E-3</v>
      </c>
      <c r="F128" s="60">
        <v>43363</v>
      </c>
      <c r="G128" s="47">
        <v>62.069598999999997</v>
      </c>
      <c r="H128" s="55">
        <f t="shared" si="3"/>
        <v>7.3275723842647703E-3</v>
      </c>
    </row>
    <row r="129" spans="2:8">
      <c r="B129" s="54">
        <v>43364</v>
      </c>
      <c r="C129" s="46">
        <v>69.300003000000004</v>
      </c>
      <c r="D129" s="55">
        <f t="shared" si="2"/>
        <v>-4.5963801524109846E-3</v>
      </c>
      <c r="F129" s="60">
        <v>43364</v>
      </c>
      <c r="G129" s="47">
        <v>62.041961999999998</v>
      </c>
      <c r="H129" s="55">
        <f t="shared" si="3"/>
        <v>-4.4525823342275148E-4</v>
      </c>
    </row>
    <row r="130" spans="2:8">
      <c r="B130" s="54">
        <v>43367</v>
      </c>
      <c r="C130" s="46">
        <v>69.910004000000001</v>
      </c>
      <c r="D130" s="55">
        <f t="shared" si="2"/>
        <v>8.80232285127025E-3</v>
      </c>
      <c r="F130" s="60">
        <v>43367</v>
      </c>
      <c r="G130" s="47">
        <v>61.820808</v>
      </c>
      <c r="H130" s="55">
        <f t="shared" si="3"/>
        <v>-3.5645874642068623E-3</v>
      </c>
    </row>
    <row r="131" spans="2:8">
      <c r="B131" s="54">
        <v>43368</v>
      </c>
      <c r="C131" s="46">
        <v>71.949996999999996</v>
      </c>
      <c r="D131" s="55">
        <f t="shared" si="2"/>
        <v>2.9180272969230491E-2</v>
      </c>
      <c r="F131" s="60">
        <v>43368</v>
      </c>
      <c r="G131" s="47">
        <v>61.774746</v>
      </c>
      <c r="H131" s="55">
        <f t="shared" si="3"/>
        <v>-7.4508893510416682E-4</v>
      </c>
    </row>
    <row r="132" spans="2:8">
      <c r="B132" s="54">
        <v>43369</v>
      </c>
      <c r="C132" s="46">
        <v>70.639999000000003</v>
      </c>
      <c r="D132" s="55">
        <f t="shared" si="2"/>
        <v>-1.8207061217806488E-2</v>
      </c>
      <c r="F132" s="60">
        <v>43369</v>
      </c>
      <c r="G132" s="47">
        <v>61.532241999999997</v>
      </c>
      <c r="H132" s="55">
        <f t="shared" si="3"/>
        <v>-3.9256171122096367E-3</v>
      </c>
    </row>
    <row r="133" spans="2:8">
      <c r="B133" s="54">
        <v>43370</v>
      </c>
      <c r="C133" s="46">
        <v>70.910004000000001</v>
      </c>
      <c r="D133" s="55">
        <f t="shared" si="2"/>
        <v>3.8222678910286734E-3</v>
      </c>
      <c r="F133" s="60">
        <v>43370</v>
      </c>
      <c r="G133" s="47">
        <v>61.689587000000003</v>
      </c>
      <c r="H133" s="55">
        <f t="shared" si="3"/>
        <v>2.5571146911891576E-3</v>
      </c>
    </row>
    <row r="134" spans="2:8">
      <c r="B134" s="54">
        <v>43371</v>
      </c>
      <c r="C134" s="46">
        <v>71.580001999999993</v>
      </c>
      <c r="D134" s="55">
        <f t="shared" ref="D134:D197" si="4">(C134-C133)/C133</f>
        <v>9.4485680751053482E-3</v>
      </c>
      <c r="F134" s="60">
        <v>43371</v>
      </c>
      <c r="G134" s="47">
        <v>61.67107</v>
      </c>
      <c r="H134" s="55">
        <f t="shared" ref="H134:H197" si="5">(G134-G133)/G133</f>
        <v>-3.0016411035468238E-4</v>
      </c>
    </row>
    <row r="135" spans="2:8">
      <c r="B135" s="54">
        <v>43374</v>
      </c>
      <c r="C135" s="46">
        <v>70.889999000000003</v>
      </c>
      <c r="D135" s="55">
        <f t="shared" si="4"/>
        <v>-9.6396057658672627E-3</v>
      </c>
      <c r="F135" s="60">
        <v>43374</v>
      </c>
      <c r="G135" s="47">
        <v>61.791397000000003</v>
      </c>
      <c r="H135" s="55">
        <f t="shared" si="5"/>
        <v>1.9511093288960802E-3</v>
      </c>
    </row>
    <row r="136" spans="2:8">
      <c r="B136" s="54">
        <v>43375</v>
      </c>
      <c r="C136" s="46">
        <v>70.139999000000003</v>
      </c>
      <c r="D136" s="55">
        <f t="shared" si="4"/>
        <v>-1.0579771626178186E-2</v>
      </c>
      <c r="F136" s="60">
        <v>43375</v>
      </c>
      <c r="G136" s="47">
        <v>61.708092000000001</v>
      </c>
      <c r="H136" s="55">
        <f t="shared" si="5"/>
        <v>-1.3481650204477955E-3</v>
      </c>
    </row>
    <row r="137" spans="2:8">
      <c r="B137" s="54">
        <v>43376</v>
      </c>
      <c r="C137" s="46">
        <v>70.75</v>
      </c>
      <c r="D137" s="55">
        <f t="shared" si="4"/>
        <v>8.6969063116182372E-3</v>
      </c>
      <c r="F137" s="60">
        <v>43376</v>
      </c>
      <c r="G137" s="47">
        <v>61.763638</v>
      </c>
      <c r="H137" s="55">
        <f t="shared" si="5"/>
        <v>9.0014126510344302E-4</v>
      </c>
    </row>
    <row r="138" spans="2:8">
      <c r="B138" s="54">
        <v>43377</v>
      </c>
      <c r="C138" s="46">
        <v>69.690002000000007</v>
      </c>
      <c r="D138" s="55">
        <f t="shared" si="4"/>
        <v>-1.4982303886925698E-2</v>
      </c>
      <c r="F138" s="60">
        <v>43377</v>
      </c>
      <c r="G138" s="47">
        <v>61.263827999999997</v>
      </c>
      <c r="H138" s="55">
        <f t="shared" si="5"/>
        <v>-8.0923018168068996E-3</v>
      </c>
    </row>
    <row r="139" spans="2:8">
      <c r="B139" s="54">
        <v>43378</v>
      </c>
      <c r="C139" s="46">
        <v>70.309997999999993</v>
      </c>
      <c r="D139" s="55">
        <f t="shared" si="4"/>
        <v>8.8964841757356548E-3</v>
      </c>
      <c r="F139" s="60">
        <v>43378</v>
      </c>
      <c r="G139" s="47">
        <v>60.847313</v>
      </c>
      <c r="H139" s="55">
        <f t="shared" si="5"/>
        <v>-6.7987099989898917E-3</v>
      </c>
    </row>
    <row r="140" spans="2:8">
      <c r="B140" s="54">
        <v>43381</v>
      </c>
      <c r="C140" s="46">
        <v>70.540001000000004</v>
      </c>
      <c r="D140" s="55">
        <f t="shared" si="4"/>
        <v>3.2712701826561087E-3</v>
      </c>
      <c r="F140" s="60">
        <v>43381</v>
      </c>
      <c r="G140" s="47">
        <v>60.801040999999998</v>
      </c>
      <c r="H140" s="55">
        <f t="shared" si="5"/>
        <v>-7.6046086044920117E-4</v>
      </c>
    </row>
    <row r="141" spans="2:8">
      <c r="B141" s="54">
        <v>43382</v>
      </c>
      <c r="C141" s="46">
        <v>70.019997000000004</v>
      </c>
      <c r="D141" s="55">
        <f t="shared" si="4"/>
        <v>-7.3717605986424652E-3</v>
      </c>
      <c r="F141" s="60">
        <v>43382</v>
      </c>
      <c r="G141" s="47">
        <v>60.699223000000003</v>
      </c>
      <c r="H141" s="55">
        <f t="shared" si="5"/>
        <v>-1.674609485715786E-3</v>
      </c>
    </row>
    <row r="142" spans="2:8">
      <c r="B142" s="54">
        <v>43383</v>
      </c>
      <c r="C142" s="46">
        <v>67.900002000000001</v>
      </c>
      <c r="D142" s="55">
        <f t="shared" si="4"/>
        <v>-3.0276993585132587E-2</v>
      </c>
      <c r="F142" s="60">
        <v>43383</v>
      </c>
      <c r="G142" s="47">
        <v>58.746250000000003</v>
      </c>
      <c r="H142" s="55">
        <f t="shared" si="5"/>
        <v>-3.21745963700392E-2</v>
      </c>
    </row>
    <row r="143" spans="2:8">
      <c r="B143" s="54">
        <v>43384</v>
      </c>
      <c r="C143" s="46">
        <v>65.949996999999996</v>
      </c>
      <c r="D143" s="55">
        <f t="shared" si="4"/>
        <v>-2.8718776768224607E-2</v>
      </c>
      <c r="F143" s="60">
        <v>43384</v>
      </c>
      <c r="G143" s="47">
        <v>57.524506000000002</v>
      </c>
      <c r="H143" s="55">
        <f t="shared" si="5"/>
        <v>-2.0796970019362954E-2</v>
      </c>
    </row>
    <row r="144" spans="2:8">
      <c r="B144" s="54">
        <v>43385</v>
      </c>
      <c r="C144" s="46">
        <v>66.220000999999996</v>
      </c>
      <c r="D144" s="55">
        <f t="shared" si="4"/>
        <v>4.0940714523459362E-3</v>
      </c>
      <c r="F144" s="60">
        <v>43385</v>
      </c>
      <c r="G144" s="47">
        <v>58.274208000000002</v>
      </c>
      <c r="H144" s="55">
        <f t="shared" si="5"/>
        <v>1.303274121119787E-2</v>
      </c>
    </row>
    <row r="145" spans="2:8">
      <c r="B145" s="54">
        <v>43388</v>
      </c>
      <c r="C145" s="46">
        <v>66.769997000000004</v>
      </c>
      <c r="D145" s="55">
        <f t="shared" si="4"/>
        <v>8.3055873103959517E-3</v>
      </c>
      <c r="F145" s="60">
        <v>43388</v>
      </c>
      <c r="G145" s="47">
        <v>58.042816000000002</v>
      </c>
      <c r="H145" s="55">
        <f t="shared" si="5"/>
        <v>-3.9707446560234604E-3</v>
      </c>
    </row>
    <row r="146" spans="2:8">
      <c r="B146" s="54">
        <v>43389</v>
      </c>
      <c r="C146" s="46">
        <v>67.400002000000001</v>
      </c>
      <c r="D146" s="55">
        <f t="shared" si="4"/>
        <v>9.4354504763568738E-3</v>
      </c>
      <c r="F146" s="60">
        <v>43389</v>
      </c>
      <c r="G146" s="47">
        <v>59.292343000000002</v>
      </c>
      <c r="H146" s="55">
        <f t="shared" si="5"/>
        <v>2.1527677085825755E-2</v>
      </c>
    </row>
    <row r="147" spans="2:8">
      <c r="B147" s="54">
        <v>43390</v>
      </c>
      <c r="C147" s="46">
        <v>66.989998</v>
      </c>
      <c r="D147" s="55">
        <f t="shared" si="4"/>
        <v>-6.083145220084722E-3</v>
      </c>
      <c r="F147" s="60">
        <v>43390</v>
      </c>
      <c r="G147" s="47">
        <v>59.301605000000002</v>
      </c>
      <c r="H147" s="55">
        <f t="shared" si="5"/>
        <v>1.5620904034775046E-4</v>
      </c>
    </row>
    <row r="148" spans="2:8">
      <c r="B148" s="54">
        <v>43391</v>
      </c>
      <c r="C148" s="46">
        <v>66.860000999999997</v>
      </c>
      <c r="D148" s="55">
        <f t="shared" si="4"/>
        <v>-1.9405434226166573E-3</v>
      </c>
      <c r="F148" s="60">
        <v>43391</v>
      </c>
      <c r="G148" s="47">
        <v>58.403782</v>
      </c>
      <c r="H148" s="55">
        <f t="shared" si="5"/>
        <v>-1.5139944357323928E-2</v>
      </c>
    </row>
    <row r="149" spans="2:8">
      <c r="B149" s="54">
        <v>43392</v>
      </c>
      <c r="C149" s="46">
        <v>66.370002999999997</v>
      </c>
      <c r="D149" s="55">
        <f t="shared" si="4"/>
        <v>-7.3287166118947552E-3</v>
      </c>
      <c r="F149" s="60">
        <v>43392</v>
      </c>
      <c r="G149" s="47">
        <v>58.283470000000001</v>
      </c>
      <c r="H149" s="55">
        <f t="shared" si="5"/>
        <v>-2.0600035799051238E-3</v>
      </c>
    </row>
    <row r="150" spans="2:8">
      <c r="B150" s="54">
        <v>43395</v>
      </c>
      <c r="C150" s="46">
        <v>66.220000999999996</v>
      </c>
      <c r="D150" s="55">
        <f t="shared" si="4"/>
        <v>-2.2600872867219947E-3</v>
      </c>
      <c r="F150" s="60">
        <v>43395</v>
      </c>
      <c r="G150" s="47">
        <v>58.052073999999998</v>
      </c>
      <c r="H150" s="55">
        <f t="shared" si="5"/>
        <v>-3.9701822832443525E-3</v>
      </c>
    </row>
    <row r="151" spans="2:8">
      <c r="B151" s="54">
        <v>43396</v>
      </c>
      <c r="C151" s="46">
        <v>64.419998000000007</v>
      </c>
      <c r="D151" s="55">
        <f t="shared" si="4"/>
        <v>-2.7182165098426827E-2</v>
      </c>
      <c r="F151" s="60">
        <v>43396</v>
      </c>
      <c r="G151" s="47">
        <v>57.709617999999999</v>
      </c>
      <c r="H151" s="55">
        <f t="shared" si="5"/>
        <v>-5.8991174027649479E-3</v>
      </c>
    </row>
    <row r="152" spans="2:8">
      <c r="B152" s="54">
        <v>43397</v>
      </c>
      <c r="C152" s="46">
        <v>63.619999</v>
      </c>
      <c r="D152" s="55">
        <f t="shared" si="4"/>
        <v>-1.2418488432738024E-2</v>
      </c>
      <c r="F152" s="60">
        <v>43397</v>
      </c>
      <c r="G152" s="47">
        <v>55.895485000000001</v>
      </c>
      <c r="H152" s="55">
        <f t="shared" si="5"/>
        <v>-3.1435539912948278E-2</v>
      </c>
    </row>
    <row r="153" spans="2:8">
      <c r="B153" s="54">
        <v>43398</v>
      </c>
      <c r="C153" s="46">
        <v>62.459999000000003</v>
      </c>
      <c r="D153" s="55">
        <f t="shared" si="4"/>
        <v>-1.8233260267734312E-2</v>
      </c>
      <c r="F153" s="60">
        <v>43398</v>
      </c>
      <c r="G153" s="47">
        <v>56.941383000000002</v>
      </c>
      <c r="H153" s="55">
        <f t="shared" si="5"/>
        <v>1.8711672329169361E-2</v>
      </c>
    </row>
    <row r="154" spans="2:8">
      <c r="B154" s="54">
        <v>43399</v>
      </c>
      <c r="C154" s="46">
        <v>62.450001</v>
      </c>
      <c r="D154" s="55">
        <f t="shared" si="4"/>
        <v>-1.6007044764767062E-4</v>
      </c>
      <c r="F154" s="60">
        <v>43399</v>
      </c>
      <c r="G154" s="47">
        <v>55.960278000000002</v>
      </c>
      <c r="H154" s="55">
        <f t="shared" si="5"/>
        <v>-1.7230087298722607E-2</v>
      </c>
    </row>
    <row r="155" spans="2:8">
      <c r="B155" s="54">
        <v>43402</v>
      </c>
      <c r="C155" s="46">
        <v>62.360000999999997</v>
      </c>
      <c r="D155" s="55">
        <f t="shared" si="4"/>
        <v>-1.441152899261017E-3</v>
      </c>
      <c r="F155" s="60">
        <v>43402</v>
      </c>
      <c r="G155" s="47">
        <v>55.654839000000003</v>
      </c>
      <c r="H155" s="55">
        <f t="shared" si="5"/>
        <v>-5.4581394324023872E-3</v>
      </c>
    </row>
    <row r="156" spans="2:8">
      <c r="B156" s="54">
        <v>43403</v>
      </c>
      <c r="C156" s="46">
        <v>63.610000999999997</v>
      </c>
      <c r="D156" s="55">
        <f t="shared" si="4"/>
        <v>2.004490025585471E-2</v>
      </c>
      <c r="F156" s="60">
        <v>43403</v>
      </c>
      <c r="G156" s="47">
        <v>56.506359000000003</v>
      </c>
      <c r="H156" s="55">
        <f t="shared" si="5"/>
        <v>1.5300017308468014E-2</v>
      </c>
    </row>
    <row r="157" spans="2:8">
      <c r="B157" s="54">
        <v>43404</v>
      </c>
      <c r="C157" s="46">
        <v>68.040001000000004</v>
      </c>
      <c r="D157" s="55">
        <f t="shared" si="4"/>
        <v>6.9643136776558257E-2</v>
      </c>
      <c r="F157" s="60">
        <v>43404</v>
      </c>
      <c r="G157" s="47">
        <v>57.135761000000002</v>
      </c>
      <c r="H157" s="55">
        <f t="shared" si="5"/>
        <v>1.1138604771898307E-2</v>
      </c>
    </row>
    <row r="158" spans="2:8">
      <c r="B158" s="54">
        <v>43405</v>
      </c>
      <c r="C158" s="46">
        <v>64.269997000000004</v>
      </c>
      <c r="D158" s="55">
        <f t="shared" si="4"/>
        <v>-5.5408641160954716E-2</v>
      </c>
      <c r="F158" s="60">
        <v>43405</v>
      </c>
      <c r="G158" s="47">
        <v>57.839191</v>
      </c>
      <c r="H158" s="55">
        <f t="shared" si="5"/>
        <v>1.2311553879539599E-2</v>
      </c>
    </row>
    <row r="159" spans="2:8">
      <c r="B159" s="54">
        <v>43406</v>
      </c>
      <c r="C159" s="46">
        <v>64.75</v>
      </c>
      <c r="D159" s="55">
        <f t="shared" si="4"/>
        <v>7.4685393248111768E-3</v>
      </c>
      <c r="F159" s="60">
        <v>43406</v>
      </c>
      <c r="G159" s="47">
        <v>57.468964</v>
      </c>
      <c r="H159" s="55">
        <f t="shared" si="5"/>
        <v>-6.4009712722295836E-3</v>
      </c>
    </row>
    <row r="160" spans="2:8">
      <c r="B160" s="54">
        <v>43409</v>
      </c>
      <c r="C160" s="46">
        <v>64</v>
      </c>
      <c r="D160" s="55">
        <f t="shared" si="4"/>
        <v>-1.1583011583011582E-2</v>
      </c>
      <c r="F160" s="60">
        <v>43409</v>
      </c>
      <c r="G160" s="47">
        <v>57.783661000000002</v>
      </c>
      <c r="H160" s="55">
        <f t="shared" si="5"/>
        <v>5.4759469824443409E-3</v>
      </c>
    </row>
    <row r="161" spans="2:8">
      <c r="B161" s="54">
        <v>43410</v>
      </c>
      <c r="C161" s="46">
        <v>64.589995999999999</v>
      </c>
      <c r="D161" s="55">
        <f t="shared" si="4"/>
        <v>9.218687499999989E-3</v>
      </c>
      <c r="F161" s="60">
        <v>43410</v>
      </c>
      <c r="G161" s="47">
        <v>58.144627</v>
      </c>
      <c r="H161" s="55">
        <f t="shared" si="5"/>
        <v>6.2468523757952558E-3</v>
      </c>
    </row>
    <row r="162" spans="2:8">
      <c r="B162" s="54">
        <v>43411</v>
      </c>
      <c r="C162" s="46">
        <v>66.739998</v>
      </c>
      <c r="D162" s="55">
        <f t="shared" si="4"/>
        <v>3.3286919540914672E-2</v>
      </c>
      <c r="F162" s="60">
        <v>43411</v>
      </c>
      <c r="G162" s="47">
        <v>59.32011</v>
      </c>
      <c r="H162" s="55">
        <f t="shared" si="5"/>
        <v>2.0216536946741439E-2</v>
      </c>
    </row>
    <row r="163" spans="2:8">
      <c r="B163" s="54">
        <v>43412</v>
      </c>
      <c r="C163" s="46">
        <v>65.620002999999997</v>
      </c>
      <c r="D163" s="55">
        <f t="shared" si="4"/>
        <v>-1.6781465890963961E-2</v>
      </c>
      <c r="F163" s="60">
        <v>43412</v>
      </c>
      <c r="G163" s="47">
        <v>59.209045000000003</v>
      </c>
      <c r="H163" s="55">
        <f t="shared" si="5"/>
        <v>-1.8722992927692889E-3</v>
      </c>
    </row>
    <row r="164" spans="2:8">
      <c r="B164" s="54">
        <v>43413</v>
      </c>
      <c r="C164" s="46">
        <v>66.129997000000003</v>
      </c>
      <c r="D164" s="55">
        <f t="shared" si="4"/>
        <v>7.7719289345354967E-3</v>
      </c>
      <c r="F164" s="60">
        <v>43413</v>
      </c>
      <c r="G164" s="47">
        <v>58.598166999999997</v>
      </c>
      <c r="H164" s="55">
        <f t="shared" si="5"/>
        <v>-1.0317308782805172E-2</v>
      </c>
    </row>
    <row r="165" spans="2:8">
      <c r="B165" s="54">
        <v>43416</v>
      </c>
      <c r="C165" s="46">
        <v>65.860000999999997</v>
      </c>
      <c r="D165" s="55">
        <f t="shared" si="4"/>
        <v>-4.0828067782916443E-3</v>
      </c>
      <c r="F165" s="60">
        <v>43416</v>
      </c>
      <c r="G165" s="47">
        <v>57.468964</v>
      </c>
      <c r="H165" s="55">
        <f t="shared" si="5"/>
        <v>-1.9270278539599998E-2</v>
      </c>
    </row>
    <row r="166" spans="2:8">
      <c r="B166" s="54">
        <v>43417</v>
      </c>
      <c r="C166" s="46">
        <v>65.029999000000004</v>
      </c>
      <c r="D166" s="55">
        <f t="shared" si="4"/>
        <v>-1.2602520306672835E-2</v>
      </c>
      <c r="F166" s="60">
        <v>43417</v>
      </c>
      <c r="G166" s="47">
        <v>57.385657999999999</v>
      </c>
      <c r="H166" s="55">
        <f t="shared" si="5"/>
        <v>-1.4495824215658441E-3</v>
      </c>
    </row>
    <row r="167" spans="2:8">
      <c r="B167" s="54">
        <v>43418</v>
      </c>
      <c r="C167" s="46">
        <v>64.099997999999999</v>
      </c>
      <c r="D167" s="55">
        <f t="shared" si="4"/>
        <v>-1.4301107401216541E-2</v>
      </c>
      <c r="F167" s="60">
        <v>43418</v>
      </c>
      <c r="G167" s="47">
        <v>56.941383000000002</v>
      </c>
      <c r="H167" s="55">
        <f t="shared" si="5"/>
        <v>-7.7419169786290074E-3</v>
      </c>
    </row>
    <row r="168" spans="2:8">
      <c r="B168" s="54">
        <v>43419</v>
      </c>
      <c r="C168" s="46">
        <v>65.190002000000007</v>
      </c>
      <c r="D168" s="55">
        <f t="shared" si="4"/>
        <v>1.7004743120272912E-2</v>
      </c>
      <c r="F168" s="60">
        <v>43419</v>
      </c>
      <c r="G168" s="47">
        <v>57.607802999999997</v>
      </c>
      <c r="H168" s="55">
        <f t="shared" si="5"/>
        <v>1.1703614575009446E-2</v>
      </c>
    </row>
    <row r="169" spans="2:8">
      <c r="B169" s="54">
        <v>43420</v>
      </c>
      <c r="C169" s="46">
        <v>66.25</v>
      </c>
      <c r="D169" s="55">
        <f t="shared" si="4"/>
        <v>1.6260131423220282E-2</v>
      </c>
      <c r="F169" s="60">
        <v>43420</v>
      </c>
      <c r="G169" s="47">
        <v>57.728127000000001</v>
      </c>
      <c r="H169" s="55">
        <f t="shared" si="5"/>
        <v>2.0886753830900938E-3</v>
      </c>
    </row>
    <row r="170" spans="2:8">
      <c r="B170" s="54">
        <v>43423</v>
      </c>
      <c r="C170" s="46">
        <v>66.879997000000003</v>
      </c>
      <c r="D170" s="55">
        <f t="shared" si="4"/>
        <v>9.5093886792453289E-3</v>
      </c>
      <c r="F170" s="60">
        <v>43423</v>
      </c>
      <c r="G170" s="47">
        <v>56.709991000000002</v>
      </c>
      <c r="H170" s="55">
        <f t="shared" si="5"/>
        <v>-1.7636740578816951E-2</v>
      </c>
    </row>
    <row r="171" spans="2:8">
      <c r="B171" s="54">
        <v>43424</v>
      </c>
      <c r="C171" s="46">
        <v>63.970001000000003</v>
      </c>
      <c r="D171" s="55">
        <f t="shared" si="4"/>
        <v>-4.3510707693363078E-2</v>
      </c>
      <c r="F171" s="60">
        <v>43424</v>
      </c>
      <c r="G171" s="47">
        <v>55.701110999999997</v>
      </c>
      <c r="H171" s="55">
        <f t="shared" si="5"/>
        <v>-1.7790163288863948E-2</v>
      </c>
    </row>
    <row r="172" spans="2:8">
      <c r="B172" s="54">
        <v>43425</v>
      </c>
      <c r="C172" s="46">
        <v>64.290001000000004</v>
      </c>
      <c r="D172" s="55">
        <f t="shared" si="4"/>
        <v>5.0023447709497499E-3</v>
      </c>
      <c r="F172" s="60">
        <v>43425</v>
      </c>
      <c r="G172" s="47">
        <v>55.951019000000002</v>
      </c>
      <c r="H172" s="55">
        <f t="shared" si="5"/>
        <v>4.4865891454122864E-3</v>
      </c>
    </row>
    <row r="173" spans="2:8">
      <c r="B173" s="54">
        <v>43427</v>
      </c>
      <c r="C173" s="46">
        <v>63.959999000000003</v>
      </c>
      <c r="D173" s="55">
        <f t="shared" si="4"/>
        <v>-5.133022163119897E-3</v>
      </c>
      <c r="F173" s="60">
        <v>43427</v>
      </c>
      <c r="G173" s="47">
        <v>55.682602000000003</v>
      </c>
      <c r="H173" s="55">
        <f t="shared" si="5"/>
        <v>-4.797356773788149E-3</v>
      </c>
    </row>
    <row r="174" spans="2:8">
      <c r="B174" s="54">
        <v>43430</v>
      </c>
      <c r="C174" s="46">
        <v>64.900002000000001</v>
      </c>
      <c r="D174" s="55">
        <f t="shared" si="4"/>
        <v>1.4696732562487958E-2</v>
      </c>
      <c r="F174" s="60">
        <v>43430</v>
      </c>
      <c r="G174" s="47">
        <v>56.524883000000003</v>
      </c>
      <c r="H174" s="55">
        <f t="shared" si="5"/>
        <v>1.5126466252421174E-2</v>
      </c>
    </row>
    <row r="175" spans="2:8">
      <c r="B175" s="54">
        <v>43431</v>
      </c>
      <c r="C175" s="46">
        <v>65</v>
      </c>
      <c r="D175" s="55">
        <f t="shared" si="4"/>
        <v>1.5408011851833128E-3</v>
      </c>
      <c r="F175" s="60">
        <v>43431</v>
      </c>
      <c r="G175" s="47">
        <v>56.635941000000003</v>
      </c>
      <c r="H175" s="55">
        <f t="shared" si="5"/>
        <v>1.9647630230388955E-3</v>
      </c>
    </row>
    <row r="176" spans="2:8">
      <c r="B176" s="54">
        <v>43432</v>
      </c>
      <c r="C176" s="46">
        <v>64.660004000000001</v>
      </c>
      <c r="D176" s="55">
        <f t="shared" si="4"/>
        <v>-5.2307076923076819E-3</v>
      </c>
      <c r="F176" s="60">
        <v>43432</v>
      </c>
      <c r="G176" s="47">
        <v>57.931750999999998</v>
      </c>
      <c r="H176" s="55">
        <f t="shared" si="5"/>
        <v>2.2879641039247424E-2</v>
      </c>
    </row>
    <row r="177" spans="2:8">
      <c r="B177" s="54">
        <v>43433</v>
      </c>
      <c r="C177" s="46">
        <v>63.880001</v>
      </c>
      <c r="D177" s="55">
        <f t="shared" si="4"/>
        <v>-1.2063144938871341E-2</v>
      </c>
      <c r="F177" s="60">
        <v>43433</v>
      </c>
      <c r="G177" s="47">
        <v>57.829929</v>
      </c>
      <c r="H177" s="55">
        <f t="shared" si="5"/>
        <v>-1.7576199276282626E-3</v>
      </c>
    </row>
    <row r="178" spans="2:8">
      <c r="B178" s="54">
        <v>43434</v>
      </c>
      <c r="C178" s="46">
        <v>64.529999000000004</v>
      </c>
      <c r="D178" s="55">
        <f t="shared" si="4"/>
        <v>1.0175297273398659E-2</v>
      </c>
      <c r="F178" s="60">
        <v>43434</v>
      </c>
      <c r="G178" s="47">
        <v>58.227943000000003</v>
      </c>
      <c r="H178" s="55">
        <f t="shared" si="5"/>
        <v>6.8824915901246125E-3</v>
      </c>
    </row>
    <row r="179" spans="2:8">
      <c r="B179" s="54">
        <v>43437</v>
      </c>
      <c r="C179" s="46">
        <v>65.290001000000004</v>
      </c>
      <c r="D179" s="55">
        <f t="shared" si="4"/>
        <v>1.1777499020261879E-2</v>
      </c>
      <c r="F179" s="60">
        <v>43437</v>
      </c>
      <c r="G179" s="47">
        <v>58.940627999999997</v>
      </c>
      <c r="H179" s="55">
        <f t="shared" si="5"/>
        <v>1.2239570269552425E-2</v>
      </c>
    </row>
    <row r="180" spans="2:8">
      <c r="B180" s="54">
        <v>43438</v>
      </c>
      <c r="C180" s="46">
        <v>62.439999</v>
      </c>
      <c r="D180" s="55">
        <f t="shared" si="4"/>
        <v>-4.3651431403715302E-2</v>
      </c>
      <c r="F180" s="60">
        <v>43438</v>
      </c>
      <c r="G180" s="47">
        <v>57.024689000000002</v>
      </c>
      <c r="H180" s="55">
        <f t="shared" si="5"/>
        <v>-3.2506253581146005E-2</v>
      </c>
    </row>
    <row r="181" spans="2:8">
      <c r="B181" s="54">
        <v>43440</v>
      </c>
      <c r="C181" s="46">
        <v>60.02</v>
      </c>
      <c r="D181" s="55">
        <f t="shared" si="4"/>
        <v>-3.8757191523978038E-2</v>
      </c>
      <c r="F181" s="60">
        <v>43440</v>
      </c>
      <c r="G181" s="47">
        <v>56.904361999999999</v>
      </c>
      <c r="H181" s="55">
        <f t="shared" si="5"/>
        <v>-2.1100860365937846E-3</v>
      </c>
    </row>
    <row r="182" spans="2:8">
      <c r="B182" s="54">
        <v>43441</v>
      </c>
      <c r="C182" s="46">
        <v>57.509998000000003</v>
      </c>
      <c r="D182" s="55">
        <f t="shared" si="4"/>
        <v>-4.1819426857714094E-2</v>
      </c>
      <c r="F182" s="60">
        <v>43441</v>
      </c>
      <c r="G182" s="47">
        <v>55.617812999999998</v>
      </c>
      <c r="H182" s="55">
        <f t="shared" si="5"/>
        <v>-2.2608969765797581E-2</v>
      </c>
    </row>
    <row r="183" spans="2:8">
      <c r="B183" s="54">
        <v>43444</v>
      </c>
      <c r="C183" s="46">
        <v>54.73</v>
      </c>
      <c r="D183" s="55">
        <f t="shared" si="4"/>
        <v>-4.8339386135955106E-2</v>
      </c>
      <c r="F183" s="60">
        <v>43444</v>
      </c>
      <c r="G183" s="47">
        <v>55.636330000000001</v>
      </c>
      <c r="H183" s="55">
        <f t="shared" si="5"/>
        <v>3.3293290406803271E-4</v>
      </c>
    </row>
    <row r="184" spans="2:8">
      <c r="B184" s="54">
        <v>43445</v>
      </c>
      <c r="C184" s="46">
        <v>55.09</v>
      </c>
      <c r="D184" s="55">
        <f t="shared" si="4"/>
        <v>6.5777452950850825E-3</v>
      </c>
      <c r="F184" s="60">
        <v>43445</v>
      </c>
      <c r="G184" s="47">
        <v>55.627071000000001</v>
      </c>
      <c r="H184" s="55">
        <f t="shared" si="5"/>
        <v>-1.6642003525394519E-4</v>
      </c>
    </row>
    <row r="185" spans="2:8">
      <c r="B185" s="54">
        <v>43446</v>
      </c>
      <c r="C185" s="46">
        <v>55.560001</v>
      </c>
      <c r="D185" s="55">
        <f t="shared" si="4"/>
        <v>8.5315120711562231E-3</v>
      </c>
      <c r="F185" s="60">
        <v>43446</v>
      </c>
      <c r="G185" s="47">
        <v>55.960278000000002</v>
      </c>
      <c r="H185" s="55">
        <f t="shared" si="5"/>
        <v>5.9900151852324132E-3</v>
      </c>
    </row>
    <row r="186" spans="2:8">
      <c r="B186" s="54">
        <v>43447</v>
      </c>
      <c r="C186" s="46">
        <v>55.82</v>
      </c>
      <c r="D186" s="55">
        <f t="shared" si="4"/>
        <v>4.6796075471633005E-3</v>
      </c>
      <c r="F186" s="60">
        <v>43447</v>
      </c>
      <c r="G186" s="47">
        <v>55.812190999999999</v>
      </c>
      <c r="H186" s="55">
        <f t="shared" si="5"/>
        <v>-2.6462877829163726E-3</v>
      </c>
    </row>
    <row r="187" spans="2:8">
      <c r="B187" s="54">
        <v>43448</v>
      </c>
      <c r="C187" s="46">
        <v>55.529998999999997</v>
      </c>
      <c r="D187" s="55">
        <f t="shared" si="4"/>
        <v>-5.1952884270871323E-3</v>
      </c>
      <c r="F187" s="60">
        <v>43448</v>
      </c>
      <c r="G187" s="47">
        <v>54.831069999999997</v>
      </c>
      <c r="H187" s="55">
        <f t="shared" si="5"/>
        <v>-1.7578973024011936E-2</v>
      </c>
    </row>
    <row r="188" spans="2:8">
      <c r="B188" s="54">
        <v>43451</v>
      </c>
      <c r="C188" s="46">
        <v>53.540000999999997</v>
      </c>
      <c r="D188" s="55">
        <f t="shared" si="4"/>
        <v>-3.5836449411785515E-2</v>
      </c>
      <c r="F188" s="60">
        <v>43451</v>
      </c>
      <c r="G188" s="47">
        <v>53.684939999999997</v>
      </c>
      <c r="H188" s="55">
        <f t="shared" si="5"/>
        <v>-2.0902929671078815E-2</v>
      </c>
    </row>
    <row r="189" spans="2:8">
      <c r="B189" s="54">
        <v>43452</v>
      </c>
      <c r="C189" s="46">
        <v>53</v>
      </c>
      <c r="D189" s="55">
        <f t="shared" si="4"/>
        <v>-1.0085935560591354E-2</v>
      </c>
      <c r="F189" s="60">
        <v>43452</v>
      </c>
      <c r="G189" s="47">
        <v>53.657004999999998</v>
      </c>
      <c r="H189" s="55">
        <f t="shared" si="5"/>
        <v>-5.2035077248851124E-4</v>
      </c>
    </row>
    <row r="190" spans="2:8">
      <c r="B190" s="54">
        <v>43453</v>
      </c>
      <c r="C190" s="46">
        <v>51.82</v>
      </c>
      <c r="D190" s="55">
        <f t="shared" si="4"/>
        <v>-2.2264150943396222E-2</v>
      </c>
      <c r="F190" s="60">
        <v>43453</v>
      </c>
      <c r="G190" s="47">
        <v>52.828364999999998</v>
      </c>
      <c r="H190" s="55">
        <f t="shared" si="5"/>
        <v>-1.5443277163904322E-2</v>
      </c>
    </row>
    <row r="191" spans="2:8">
      <c r="B191" s="54">
        <v>43454</v>
      </c>
      <c r="C191" s="46">
        <v>50.259998000000003</v>
      </c>
      <c r="D191" s="55">
        <f t="shared" si="4"/>
        <v>-3.0104245465071348E-2</v>
      </c>
      <c r="F191" s="60">
        <v>43454</v>
      </c>
      <c r="G191" s="47">
        <v>51.943854999999999</v>
      </c>
      <c r="H191" s="55">
        <f t="shared" si="5"/>
        <v>-1.6743088679727243E-2</v>
      </c>
    </row>
    <row r="192" spans="2:8">
      <c r="B192" s="54">
        <v>43455</v>
      </c>
      <c r="C192" s="46">
        <v>48.110000999999997</v>
      </c>
      <c r="D192" s="55">
        <f t="shared" si="4"/>
        <v>-4.2777498717767676E-2</v>
      </c>
      <c r="F192" s="60">
        <v>43455</v>
      </c>
      <c r="G192" s="47">
        <v>50.845202999999998</v>
      </c>
      <c r="H192" s="55">
        <f t="shared" si="5"/>
        <v>-2.1150759796322419E-2</v>
      </c>
    </row>
    <row r="193" spans="2:8">
      <c r="B193" s="54">
        <v>43458</v>
      </c>
      <c r="C193" s="46">
        <v>46.830002</v>
      </c>
      <c r="D193" s="55">
        <f t="shared" si="4"/>
        <v>-2.6605673942929176E-2</v>
      </c>
      <c r="F193" s="60">
        <v>43458</v>
      </c>
      <c r="G193" s="47">
        <v>49.578968000000003</v>
      </c>
      <c r="H193" s="55">
        <f t="shared" si="5"/>
        <v>-2.4903725922777703E-2</v>
      </c>
    </row>
    <row r="194" spans="2:8">
      <c r="B194" s="54">
        <v>43460</v>
      </c>
      <c r="C194" s="46">
        <v>48.259998000000003</v>
      </c>
      <c r="D194" s="55">
        <f t="shared" si="4"/>
        <v>3.0535894489178171E-2</v>
      </c>
      <c r="F194" s="60">
        <v>43460</v>
      </c>
      <c r="G194" s="47">
        <v>51.953163000000004</v>
      </c>
      <c r="H194" s="55">
        <f t="shared" si="5"/>
        <v>4.7887140369682564E-2</v>
      </c>
    </row>
    <row r="195" spans="2:8">
      <c r="B195" s="54">
        <v>43461</v>
      </c>
      <c r="C195" s="46">
        <v>48.080002</v>
      </c>
      <c r="D195" s="55">
        <f t="shared" si="4"/>
        <v>-3.7297142034693558E-3</v>
      </c>
      <c r="F195" s="60">
        <v>43461</v>
      </c>
      <c r="G195" s="47">
        <v>52.446629000000001</v>
      </c>
      <c r="H195" s="55">
        <f t="shared" si="5"/>
        <v>9.4982859850130386E-3</v>
      </c>
    </row>
    <row r="196" spans="2:8">
      <c r="B196" s="54">
        <v>43462</v>
      </c>
      <c r="C196" s="46">
        <v>48.240001999999997</v>
      </c>
      <c r="D196" s="55">
        <f t="shared" si="4"/>
        <v>3.3277868832034697E-3</v>
      </c>
      <c r="F196" s="60">
        <v>43462</v>
      </c>
      <c r="G196" s="47">
        <v>52.400950999999999</v>
      </c>
      <c r="H196" s="55">
        <f t="shared" si="5"/>
        <v>-8.7094253474331645E-4</v>
      </c>
    </row>
    <row r="197" spans="2:8">
      <c r="B197" s="54">
        <v>43465</v>
      </c>
      <c r="C197" s="46">
        <v>49.349997999999999</v>
      </c>
      <c r="D197" s="55">
        <f t="shared" si="4"/>
        <v>2.3009866376042076E-2</v>
      </c>
      <c r="F197" s="60">
        <v>43465</v>
      </c>
      <c r="G197" s="47">
        <v>52.904277999999998</v>
      </c>
      <c r="H197" s="55">
        <f t="shared" si="5"/>
        <v>9.605302773989707E-3</v>
      </c>
    </row>
    <row r="198" spans="2:8">
      <c r="B198" s="54">
        <v>43467</v>
      </c>
      <c r="C198" s="46">
        <v>49.700001</v>
      </c>
      <c r="D198" s="55">
        <f t="shared" ref="D198:D261" si="6">(C198-C197)/C197</f>
        <v>7.0922596592607962E-3</v>
      </c>
      <c r="F198" s="60">
        <v>43467</v>
      </c>
      <c r="G198" s="47">
        <v>52.876308000000002</v>
      </c>
      <c r="H198" s="55">
        <f t="shared" ref="H198:H261" si="7">(G198-G197)/G197</f>
        <v>-5.2869070436981059E-4</v>
      </c>
    </row>
    <row r="199" spans="2:8">
      <c r="B199" s="54">
        <v>43468</v>
      </c>
      <c r="C199" s="46">
        <v>49.93</v>
      </c>
      <c r="D199" s="55">
        <f t="shared" si="6"/>
        <v>4.6277463857596181E-3</v>
      </c>
      <c r="F199" s="60">
        <v>43468</v>
      </c>
      <c r="G199" s="47">
        <v>51.683261999999999</v>
      </c>
      <c r="H199" s="55">
        <f t="shared" si="7"/>
        <v>-2.2562959577283694E-2</v>
      </c>
    </row>
    <row r="200" spans="2:8">
      <c r="B200" s="54">
        <v>43469</v>
      </c>
      <c r="C200" s="46">
        <v>51.240001999999997</v>
      </c>
      <c r="D200" s="55">
        <f t="shared" si="6"/>
        <v>2.6236771480072047E-2</v>
      </c>
      <c r="F200" s="60">
        <v>43469</v>
      </c>
      <c r="G200" s="47">
        <v>53.444873999999999</v>
      </c>
      <c r="H200" s="55">
        <f t="shared" si="7"/>
        <v>3.4084768101518038E-2</v>
      </c>
    </row>
    <row r="201" spans="2:8">
      <c r="B201" s="54">
        <v>43472</v>
      </c>
      <c r="C201" s="46">
        <v>52.060001</v>
      </c>
      <c r="D201" s="55">
        <f t="shared" si="6"/>
        <v>1.6003102419863351E-2</v>
      </c>
      <c r="F201" s="60">
        <v>43472</v>
      </c>
      <c r="G201" s="47">
        <v>53.948185000000002</v>
      </c>
      <c r="H201" s="55">
        <f t="shared" si="7"/>
        <v>9.4173858469570656E-3</v>
      </c>
    </row>
    <row r="202" spans="2:8">
      <c r="B202" s="54">
        <v>43473</v>
      </c>
      <c r="C202" s="46">
        <v>53.049999</v>
      </c>
      <c r="D202" s="55">
        <f t="shared" si="6"/>
        <v>1.9016480618200524E-2</v>
      </c>
      <c r="F202" s="60">
        <v>43473</v>
      </c>
      <c r="G202" s="47">
        <v>54.498108000000002</v>
      </c>
      <c r="H202" s="55">
        <f t="shared" si="7"/>
        <v>1.0193540338752818E-2</v>
      </c>
    </row>
    <row r="203" spans="2:8">
      <c r="B203" s="54">
        <v>43474</v>
      </c>
      <c r="C203" s="46">
        <v>54.849997999999999</v>
      </c>
      <c r="D203" s="55">
        <f t="shared" si="6"/>
        <v>3.3930236266356946E-2</v>
      </c>
      <c r="F203" s="60">
        <v>43474</v>
      </c>
      <c r="G203" s="47">
        <v>54.805695</v>
      </c>
      <c r="H203" s="55">
        <f t="shared" si="7"/>
        <v>5.6439940997584362E-3</v>
      </c>
    </row>
    <row r="204" spans="2:8">
      <c r="B204" s="54">
        <v>43475</v>
      </c>
      <c r="C204" s="46">
        <v>54.990001999999997</v>
      </c>
      <c r="D204" s="55">
        <f t="shared" si="6"/>
        <v>2.552488698358705E-3</v>
      </c>
      <c r="F204" s="60">
        <v>43475</v>
      </c>
      <c r="G204" s="47">
        <v>55.029400000000003</v>
      </c>
      <c r="H204" s="55">
        <f t="shared" si="7"/>
        <v>4.081783836515575E-3</v>
      </c>
    </row>
    <row r="205" spans="2:8">
      <c r="B205" s="54">
        <v>43476</v>
      </c>
      <c r="C205" s="46">
        <v>55.630001</v>
      </c>
      <c r="D205" s="55">
        <f t="shared" si="6"/>
        <v>1.1638461115167866E-2</v>
      </c>
      <c r="F205" s="60">
        <v>43476</v>
      </c>
      <c r="G205" s="47">
        <v>55.048037999999998</v>
      </c>
      <c r="H205" s="55">
        <f t="shared" si="7"/>
        <v>3.386916811739854E-4</v>
      </c>
    </row>
    <row r="206" spans="2:8">
      <c r="B206" s="54">
        <v>43479</v>
      </c>
      <c r="C206" s="46">
        <v>55.439999</v>
      </c>
      <c r="D206" s="55">
        <f t="shared" si="6"/>
        <v>-3.4154592231626919E-3</v>
      </c>
      <c r="F206" s="60">
        <v>43479</v>
      </c>
      <c r="G206" s="47">
        <v>54.712485999999998</v>
      </c>
      <c r="H206" s="55">
        <f t="shared" si="7"/>
        <v>-6.0956214279607908E-3</v>
      </c>
    </row>
    <row r="207" spans="2:8">
      <c r="B207" s="54">
        <v>43480</v>
      </c>
      <c r="C207" s="46">
        <v>56</v>
      </c>
      <c r="D207" s="55">
        <f t="shared" si="6"/>
        <v>1.0101028320725614E-2</v>
      </c>
      <c r="F207" s="60">
        <v>43480</v>
      </c>
      <c r="G207" s="47">
        <v>55.299689999999998</v>
      </c>
      <c r="H207" s="55">
        <f t="shared" si="7"/>
        <v>1.0732541014495299E-2</v>
      </c>
    </row>
    <row r="208" spans="2:8">
      <c r="B208" s="54">
        <v>43481</v>
      </c>
      <c r="C208" s="46">
        <v>55.779998999999997</v>
      </c>
      <c r="D208" s="55">
        <f t="shared" si="6"/>
        <v>-3.9285892857143468E-3</v>
      </c>
      <c r="F208" s="60">
        <v>43481</v>
      </c>
      <c r="G208" s="47">
        <v>55.486106999999997</v>
      </c>
      <c r="H208" s="55">
        <f t="shared" si="7"/>
        <v>3.3710315555114095E-3</v>
      </c>
    </row>
    <row r="209" spans="2:8">
      <c r="B209" s="54">
        <v>43482</v>
      </c>
      <c r="C209" s="46">
        <v>56.439999</v>
      </c>
      <c r="D209" s="55">
        <f t="shared" si="6"/>
        <v>1.1832198132524235E-2</v>
      </c>
      <c r="F209" s="60">
        <v>43482</v>
      </c>
      <c r="G209" s="47">
        <v>55.896220999999997</v>
      </c>
      <c r="H209" s="55">
        <f t="shared" si="7"/>
        <v>7.391291661532501E-3</v>
      </c>
    </row>
    <row r="210" spans="2:8">
      <c r="B210" s="54">
        <v>43483</v>
      </c>
      <c r="C210" s="46">
        <v>57.34</v>
      </c>
      <c r="D210" s="55">
        <f t="shared" si="6"/>
        <v>1.5946155491604511E-2</v>
      </c>
      <c r="F210" s="60">
        <v>43483</v>
      </c>
      <c r="G210" s="47">
        <v>56.632553000000001</v>
      </c>
      <c r="H210" s="55">
        <f t="shared" si="7"/>
        <v>1.3173198238213715E-2</v>
      </c>
    </row>
    <row r="211" spans="2:8">
      <c r="B211" s="54">
        <v>43487</v>
      </c>
      <c r="C211" s="46">
        <v>57.16</v>
      </c>
      <c r="D211" s="55">
        <f t="shared" si="6"/>
        <v>-3.1391698639694245E-3</v>
      </c>
      <c r="F211" s="60">
        <v>43487</v>
      </c>
      <c r="G211" s="47">
        <v>55.877575</v>
      </c>
      <c r="H211" s="55">
        <f t="shared" si="7"/>
        <v>-1.3331166617192787E-2</v>
      </c>
    </row>
    <row r="212" spans="2:8">
      <c r="B212" s="54">
        <v>43488</v>
      </c>
      <c r="C212" s="46">
        <v>57.130001</v>
      </c>
      <c r="D212" s="55">
        <f t="shared" si="6"/>
        <v>-5.2482505248419454E-4</v>
      </c>
      <c r="F212" s="60">
        <v>43488</v>
      </c>
      <c r="G212" s="47">
        <v>55.914852000000003</v>
      </c>
      <c r="H212" s="55">
        <f t="shared" si="7"/>
        <v>6.6711914395002137E-4</v>
      </c>
    </row>
    <row r="213" spans="2:8">
      <c r="B213" s="54">
        <v>43489</v>
      </c>
      <c r="C213" s="46">
        <v>57.540000999999997</v>
      </c>
      <c r="D213" s="55">
        <f t="shared" si="6"/>
        <v>7.1766146126970411E-3</v>
      </c>
      <c r="F213" s="60">
        <v>43489</v>
      </c>
      <c r="G213" s="47">
        <v>56.036022000000003</v>
      </c>
      <c r="H213" s="55">
        <f t="shared" si="7"/>
        <v>2.1670449919101876E-3</v>
      </c>
    </row>
    <row r="214" spans="2:8">
      <c r="B214" s="54">
        <v>43490</v>
      </c>
      <c r="C214" s="46">
        <v>58.540000999999997</v>
      </c>
      <c r="D214" s="55">
        <f t="shared" si="6"/>
        <v>1.737921415746934E-2</v>
      </c>
      <c r="F214" s="60">
        <v>43490</v>
      </c>
      <c r="G214" s="47">
        <v>56.530025000000002</v>
      </c>
      <c r="H214" s="55">
        <f t="shared" si="7"/>
        <v>8.815811372191968E-3</v>
      </c>
    </row>
    <row r="215" spans="2:8">
      <c r="B215" s="54">
        <v>43493</v>
      </c>
      <c r="C215" s="46">
        <v>57.810001</v>
      </c>
      <c r="D215" s="55">
        <f t="shared" si="6"/>
        <v>-1.2470105697469955E-2</v>
      </c>
      <c r="F215" s="60">
        <v>43493</v>
      </c>
      <c r="G215" s="47">
        <v>56.166514999999997</v>
      </c>
      <c r="H215" s="55">
        <f t="shared" si="7"/>
        <v>-6.4303880990677978E-3</v>
      </c>
    </row>
    <row r="216" spans="2:8">
      <c r="B216" s="54">
        <v>43494</v>
      </c>
      <c r="C216" s="46">
        <v>58.549999</v>
      </c>
      <c r="D216" s="55">
        <f t="shared" si="6"/>
        <v>1.2800518719935672E-2</v>
      </c>
      <c r="F216" s="60">
        <v>43494</v>
      </c>
      <c r="G216" s="47">
        <v>56.082633999999999</v>
      </c>
      <c r="H216" s="55">
        <f t="shared" si="7"/>
        <v>-1.4934342997780458E-3</v>
      </c>
    </row>
    <row r="217" spans="2:8">
      <c r="B217" s="54">
        <v>43495</v>
      </c>
      <c r="C217" s="46">
        <v>59.720001000000003</v>
      </c>
      <c r="D217" s="55">
        <f t="shared" si="6"/>
        <v>1.9982955080836189E-2</v>
      </c>
      <c r="F217" s="60">
        <v>43495</v>
      </c>
      <c r="G217" s="47">
        <v>56.902842999999997</v>
      </c>
      <c r="H217" s="55">
        <f t="shared" si="7"/>
        <v>1.4625008518679747E-2</v>
      </c>
    </row>
    <row r="218" spans="2:8">
      <c r="B218" s="54">
        <v>43496</v>
      </c>
      <c r="C218" s="46">
        <v>59.209999000000003</v>
      </c>
      <c r="D218" s="55">
        <f t="shared" si="6"/>
        <v>-8.5398859922992971E-3</v>
      </c>
      <c r="F218" s="60">
        <v>43496</v>
      </c>
      <c r="G218" s="47">
        <v>57.368884999999999</v>
      </c>
      <c r="H218" s="55">
        <f t="shared" si="7"/>
        <v>8.1901355965641586E-3</v>
      </c>
    </row>
    <row r="219" spans="2:8">
      <c r="B219" s="54">
        <v>43497</v>
      </c>
      <c r="C219" s="46">
        <v>58.849997999999999</v>
      </c>
      <c r="D219" s="55">
        <f t="shared" si="6"/>
        <v>-6.0800710366504815E-3</v>
      </c>
      <c r="F219" s="60">
        <v>43497</v>
      </c>
      <c r="G219" s="47">
        <v>57.499370999999996</v>
      </c>
      <c r="H219" s="55">
        <f t="shared" si="7"/>
        <v>2.2745082112019025E-3</v>
      </c>
    </row>
    <row r="220" spans="2:8">
      <c r="B220" s="54">
        <v>43500</v>
      </c>
      <c r="C220" s="46">
        <v>59.619999</v>
      </c>
      <c r="D220" s="55">
        <f t="shared" si="6"/>
        <v>1.3084129586546471E-2</v>
      </c>
      <c r="F220" s="60">
        <v>43500</v>
      </c>
      <c r="G220" s="47">
        <v>57.909484999999997</v>
      </c>
      <c r="H220" s="55">
        <f t="shared" si="7"/>
        <v>7.1324954146020159E-3</v>
      </c>
    </row>
    <row r="221" spans="2:8">
      <c r="B221" s="54">
        <v>43501</v>
      </c>
      <c r="C221" s="46">
        <v>59.529998999999997</v>
      </c>
      <c r="D221" s="55">
        <f t="shared" si="6"/>
        <v>-1.5095605754707143E-3</v>
      </c>
      <c r="F221" s="60">
        <v>43501</v>
      </c>
      <c r="G221" s="47">
        <v>58.170470999999999</v>
      </c>
      <c r="H221" s="55">
        <f t="shared" si="7"/>
        <v>4.5067919357252547E-3</v>
      </c>
    </row>
    <row r="222" spans="2:8">
      <c r="B222" s="54">
        <v>43502</v>
      </c>
      <c r="C222" s="46">
        <v>58.720001000000003</v>
      </c>
      <c r="D222" s="55">
        <f t="shared" si="6"/>
        <v>-1.360655154722904E-2</v>
      </c>
      <c r="F222" s="60">
        <v>43502</v>
      </c>
      <c r="G222" s="47">
        <v>58.039977999999998</v>
      </c>
      <c r="H222" s="55">
        <f t="shared" si="7"/>
        <v>-2.2432859448568211E-3</v>
      </c>
    </row>
    <row r="223" spans="2:8">
      <c r="B223" s="54">
        <v>43503</v>
      </c>
      <c r="C223" s="46">
        <v>57.369999</v>
      </c>
      <c r="D223" s="55">
        <f t="shared" si="6"/>
        <v>-2.2990496883676881E-2</v>
      </c>
      <c r="F223" s="60">
        <v>43503</v>
      </c>
      <c r="G223" s="47">
        <v>57.555294000000004</v>
      </c>
      <c r="H223" s="55">
        <f t="shared" si="7"/>
        <v>-8.3508646402311593E-3</v>
      </c>
    </row>
    <row r="224" spans="2:8">
      <c r="B224" s="54">
        <v>43504</v>
      </c>
      <c r="C224" s="46">
        <v>57.700001</v>
      </c>
      <c r="D224" s="55">
        <f t="shared" si="6"/>
        <v>5.7521702240224959E-3</v>
      </c>
      <c r="F224" s="60">
        <v>43504</v>
      </c>
      <c r="G224" s="47">
        <v>57.620541000000003</v>
      </c>
      <c r="H224" s="55">
        <f t="shared" si="7"/>
        <v>1.1336402868517949E-3</v>
      </c>
    </row>
    <row r="225" spans="2:8">
      <c r="B225" s="54">
        <v>43507</v>
      </c>
      <c r="C225" s="46">
        <v>58.189999</v>
      </c>
      <c r="D225" s="55">
        <f t="shared" si="6"/>
        <v>8.492166230638365E-3</v>
      </c>
      <c r="F225" s="60">
        <v>43507</v>
      </c>
      <c r="G225" s="47">
        <v>57.704433000000002</v>
      </c>
      <c r="H225" s="55">
        <f t="shared" si="7"/>
        <v>1.455939124209173E-3</v>
      </c>
    </row>
    <row r="226" spans="2:8">
      <c r="B226" s="54">
        <v>43508</v>
      </c>
      <c r="C226" s="46">
        <v>59.470001000000003</v>
      </c>
      <c r="D226" s="55">
        <f t="shared" si="6"/>
        <v>2.1996941433183443E-2</v>
      </c>
      <c r="F226" s="60">
        <v>43508</v>
      </c>
      <c r="G226" s="47">
        <v>58.440769000000003</v>
      </c>
      <c r="H226" s="55">
        <f t="shared" si="7"/>
        <v>1.2760475438689458E-2</v>
      </c>
    </row>
    <row r="227" spans="2:8">
      <c r="B227" s="54">
        <v>43509</v>
      </c>
      <c r="C227" s="46">
        <v>59.34</v>
      </c>
      <c r="D227" s="55">
        <f t="shared" si="6"/>
        <v>-2.1859929008576952E-3</v>
      </c>
      <c r="F227" s="60">
        <v>43509</v>
      </c>
      <c r="G227" s="47">
        <v>58.608539999999998</v>
      </c>
      <c r="H227" s="55">
        <f t="shared" si="7"/>
        <v>2.8707870014509011E-3</v>
      </c>
    </row>
    <row r="228" spans="2:8">
      <c r="B228" s="54">
        <v>43510</v>
      </c>
      <c r="C228" s="46">
        <v>59.369999</v>
      </c>
      <c r="D228" s="55">
        <f t="shared" si="6"/>
        <v>5.0554432086276628E-4</v>
      </c>
      <c r="F228" s="60">
        <v>43510</v>
      </c>
      <c r="G228" s="47">
        <v>58.506016000000002</v>
      </c>
      <c r="H228" s="55">
        <f t="shared" si="7"/>
        <v>-1.7493013816756978E-3</v>
      </c>
    </row>
    <row r="229" spans="2:8">
      <c r="B229" s="54">
        <v>43511</v>
      </c>
      <c r="C229" s="46">
        <v>60.040000999999997</v>
      </c>
      <c r="D229" s="55">
        <f t="shared" si="6"/>
        <v>1.128519473278072E-2</v>
      </c>
      <c r="F229" s="60">
        <v>43511</v>
      </c>
      <c r="G229" s="47">
        <v>59.167782000000003</v>
      </c>
      <c r="H229" s="55">
        <f t="shared" si="7"/>
        <v>1.1311076112241176E-2</v>
      </c>
    </row>
    <row r="230" spans="2:8">
      <c r="B230" s="54">
        <v>43515</v>
      </c>
      <c r="C230" s="46">
        <v>60.279998999999997</v>
      </c>
      <c r="D230" s="55">
        <f t="shared" si="6"/>
        <v>3.9973017322234876E-3</v>
      </c>
      <c r="F230" s="60">
        <v>43515</v>
      </c>
      <c r="G230" s="47">
        <v>59.251658999999997</v>
      </c>
      <c r="H230" s="55">
        <f t="shared" si="7"/>
        <v>1.4176127136216459E-3</v>
      </c>
    </row>
    <row r="231" spans="2:8">
      <c r="B231" s="54">
        <v>43516</v>
      </c>
      <c r="C231" s="46">
        <v>60.310001</v>
      </c>
      <c r="D231" s="55">
        <f t="shared" si="6"/>
        <v>4.9771069173380701E-4</v>
      </c>
      <c r="F231" s="60">
        <v>43516</v>
      </c>
      <c r="G231" s="47">
        <v>59.382159999999999</v>
      </c>
      <c r="H231" s="55">
        <f t="shared" si="7"/>
        <v>2.2024868535748918E-3</v>
      </c>
    </row>
    <row r="232" spans="2:8">
      <c r="B232" s="54">
        <v>43517</v>
      </c>
      <c r="C232" s="46">
        <v>60.400002000000001</v>
      </c>
      <c r="D232" s="55">
        <f t="shared" si="6"/>
        <v>1.4923063921023793E-3</v>
      </c>
      <c r="F232" s="60">
        <v>43517</v>
      </c>
      <c r="G232" s="47">
        <v>59.186416999999999</v>
      </c>
      <c r="H232" s="55">
        <f t="shared" si="7"/>
        <v>-3.2963267082234838E-3</v>
      </c>
    </row>
    <row r="233" spans="2:8">
      <c r="B233" s="54">
        <v>43518</v>
      </c>
      <c r="C233" s="46">
        <v>59.869999</v>
      </c>
      <c r="D233" s="55">
        <f t="shared" si="6"/>
        <v>-8.774883815401209E-3</v>
      </c>
      <c r="F233" s="60">
        <v>43518</v>
      </c>
      <c r="G233" s="47">
        <v>59.568573000000001</v>
      </c>
      <c r="H233" s="55">
        <f t="shared" si="7"/>
        <v>6.4568193070379974E-3</v>
      </c>
    </row>
    <row r="234" spans="2:8">
      <c r="B234" s="54">
        <v>43521</v>
      </c>
      <c r="C234" s="46">
        <v>59.720001000000003</v>
      </c>
      <c r="D234" s="55">
        <f t="shared" si="6"/>
        <v>-2.5053950643960511E-3</v>
      </c>
      <c r="F234" s="60">
        <v>43521</v>
      </c>
      <c r="G234" s="47">
        <v>59.643138999999998</v>
      </c>
      <c r="H234" s="55">
        <f t="shared" si="7"/>
        <v>1.2517674378400376E-3</v>
      </c>
    </row>
    <row r="235" spans="2:8">
      <c r="B235" s="54">
        <v>43522</v>
      </c>
      <c r="C235" s="46">
        <v>60.009998000000003</v>
      </c>
      <c r="D235" s="55">
        <f t="shared" si="6"/>
        <v>4.8559443259218902E-3</v>
      </c>
      <c r="F235" s="60">
        <v>43522</v>
      </c>
      <c r="G235" s="47">
        <v>59.549926999999997</v>
      </c>
      <c r="H235" s="55">
        <f t="shared" si="7"/>
        <v>-1.5628285426090868E-3</v>
      </c>
    </row>
    <row r="236" spans="2:8">
      <c r="B236" s="54">
        <v>43523</v>
      </c>
      <c r="C236" s="46">
        <v>68.069999999999993</v>
      </c>
      <c r="D236" s="55">
        <f t="shared" si="6"/>
        <v>0.13431098597936947</v>
      </c>
      <c r="F236" s="60">
        <v>43523</v>
      </c>
      <c r="G236" s="47">
        <v>59.577888000000002</v>
      </c>
      <c r="H236" s="55">
        <f t="shared" si="7"/>
        <v>4.6953877877977567E-4</v>
      </c>
    </row>
    <row r="237" spans="2:8">
      <c r="B237" s="54">
        <v>43524</v>
      </c>
      <c r="C237" s="46">
        <v>68</v>
      </c>
      <c r="D237" s="55">
        <f t="shared" si="6"/>
        <v>-1.0283531658585748E-3</v>
      </c>
      <c r="F237" s="60">
        <v>43524</v>
      </c>
      <c r="G237" s="47">
        <v>59.391468000000003</v>
      </c>
      <c r="H237" s="55">
        <f t="shared" si="7"/>
        <v>-3.129013233903126E-3</v>
      </c>
    </row>
    <row r="238" spans="2:8">
      <c r="B238" s="54">
        <v>43525</v>
      </c>
      <c r="C238" s="46">
        <v>68.769997000000004</v>
      </c>
      <c r="D238" s="55">
        <f t="shared" si="6"/>
        <v>1.13234852941177E-2</v>
      </c>
      <c r="F238" s="60">
        <v>43525</v>
      </c>
      <c r="G238" s="47">
        <v>59.829540000000001</v>
      </c>
      <c r="H238" s="55">
        <f t="shared" si="7"/>
        <v>7.3760089580543493E-3</v>
      </c>
    </row>
    <row r="239" spans="2:8">
      <c r="B239" s="54">
        <v>43528</v>
      </c>
      <c r="C239" s="46">
        <v>67.680000000000007</v>
      </c>
      <c r="D239" s="55">
        <f t="shared" si="6"/>
        <v>-1.5849891632247662E-2</v>
      </c>
      <c r="F239" s="60">
        <v>43528</v>
      </c>
      <c r="G239" s="47">
        <v>59.559254000000003</v>
      </c>
      <c r="H239" s="55">
        <f t="shared" si="7"/>
        <v>-4.5176011715951465E-3</v>
      </c>
    </row>
    <row r="240" spans="2:8">
      <c r="B240" s="54">
        <v>43529</v>
      </c>
      <c r="C240" s="46">
        <v>66.910004000000001</v>
      </c>
      <c r="D240" s="55">
        <f t="shared" si="6"/>
        <v>-1.1377009456264865E-2</v>
      </c>
      <c r="F240" s="60">
        <v>43529</v>
      </c>
      <c r="G240" s="47">
        <v>59.428761000000002</v>
      </c>
      <c r="H240" s="55">
        <f t="shared" si="7"/>
        <v>-2.1909777446171724E-3</v>
      </c>
    </row>
    <row r="241" spans="2:8">
      <c r="B241" s="54">
        <v>43530</v>
      </c>
      <c r="C241" s="46">
        <v>66.819999999999993</v>
      </c>
      <c r="D241" s="55">
        <f t="shared" si="6"/>
        <v>-1.3451501213481846E-3</v>
      </c>
      <c r="F241" s="60">
        <v>43530</v>
      </c>
      <c r="G241" s="47">
        <v>58.990687999999999</v>
      </c>
      <c r="H241" s="55">
        <f t="shared" si="7"/>
        <v>-7.3713971590288214E-3</v>
      </c>
    </row>
    <row r="242" spans="2:8">
      <c r="B242" s="54">
        <v>43531</v>
      </c>
      <c r="C242" s="46">
        <v>68.599997999999999</v>
      </c>
      <c r="D242" s="55">
        <f t="shared" si="6"/>
        <v>2.6638700987728321E-2</v>
      </c>
      <c r="F242" s="60">
        <v>43531</v>
      </c>
      <c r="G242" s="47">
        <v>58.506016000000002</v>
      </c>
      <c r="H242" s="55">
        <f t="shared" si="7"/>
        <v>-8.2160764085341103E-3</v>
      </c>
    </row>
    <row r="243" spans="2:8">
      <c r="B243" s="54">
        <v>43532</v>
      </c>
      <c r="C243" s="46">
        <v>67.620002999999997</v>
      </c>
      <c r="D243" s="55">
        <f t="shared" si="6"/>
        <v>-1.4285641815907959E-2</v>
      </c>
      <c r="F243" s="60">
        <v>43532</v>
      </c>
      <c r="G243" s="47">
        <v>58.394157</v>
      </c>
      <c r="H243" s="55">
        <f t="shared" si="7"/>
        <v>-1.9119230405297567E-3</v>
      </c>
    </row>
    <row r="244" spans="2:8">
      <c r="B244" s="54">
        <v>43535</v>
      </c>
      <c r="C244" s="46">
        <v>68.510002</v>
      </c>
      <c r="D244" s="55">
        <f t="shared" si="6"/>
        <v>1.3161771081258353E-2</v>
      </c>
      <c r="F244" s="60">
        <v>43535</v>
      </c>
      <c r="G244" s="47">
        <v>59.260986000000003</v>
      </c>
      <c r="H244" s="55">
        <f t="shared" si="7"/>
        <v>1.4844447536078014E-2</v>
      </c>
    </row>
    <row r="245" spans="2:8">
      <c r="B245" s="54">
        <v>43536</v>
      </c>
      <c r="C245" s="46">
        <v>68.639999000000003</v>
      </c>
      <c r="D245" s="55">
        <f t="shared" si="6"/>
        <v>1.8974893622102512E-3</v>
      </c>
      <c r="F245" s="60">
        <v>43536</v>
      </c>
      <c r="G245" s="47">
        <v>59.419429999999998</v>
      </c>
      <c r="H245" s="55">
        <f t="shared" si="7"/>
        <v>2.6736645927557768E-3</v>
      </c>
    </row>
    <row r="246" spans="2:8">
      <c r="B246" s="54">
        <v>43537</v>
      </c>
      <c r="C246" s="46">
        <v>69.110000999999997</v>
      </c>
      <c r="D246" s="55">
        <f t="shared" si="6"/>
        <v>6.8473485846058035E-3</v>
      </c>
      <c r="F246" s="60">
        <v>43537</v>
      </c>
      <c r="G246" s="47">
        <v>59.838859999999997</v>
      </c>
      <c r="H246" s="55">
        <f t="shared" si="7"/>
        <v>7.0588021460320036E-3</v>
      </c>
    </row>
    <row r="247" spans="2:8">
      <c r="B247" s="54">
        <v>43538</v>
      </c>
      <c r="C247" s="46">
        <v>69.290001000000004</v>
      </c>
      <c r="D247" s="55">
        <f t="shared" si="6"/>
        <v>2.6045434437196265E-3</v>
      </c>
      <c r="F247" s="60">
        <v>43538</v>
      </c>
      <c r="G247" s="47">
        <v>59.801589999999997</v>
      </c>
      <c r="H247" s="55">
        <f t="shared" si="7"/>
        <v>-6.2283940569722541E-4</v>
      </c>
    </row>
    <row r="248" spans="2:8">
      <c r="B248" s="54">
        <v>43539</v>
      </c>
      <c r="C248" s="46">
        <v>68.739998</v>
      </c>
      <c r="D248" s="55">
        <f t="shared" si="6"/>
        <v>-7.9376965227638506E-3</v>
      </c>
      <c r="F248" s="60">
        <v>43539</v>
      </c>
      <c r="G248" s="47">
        <v>60.034595000000003</v>
      </c>
      <c r="H248" s="55">
        <f t="shared" si="7"/>
        <v>3.8963010849712471E-3</v>
      </c>
    </row>
    <row r="249" spans="2:8">
      <c r="B249" s="54">
        <v>43542</v>
      </c>
      <c r="C249" s="46">
        <v>69.389999000000003</v>
      </c>
      <c r="D249" s="55">
        <f t="shared" si="6"/>
        <v>9.4559356839085621E-3</v>
      </c>
      <c r="F249" s="60">
        <v>43542</v>
      </c>
      <c r="G249" s="47">
        <v>60.314219999999999</v>
      </c>
      <c r="H249" s="55">
        <f t="shared" si="7"/>
        <v>4.6577310965451799E-3</v>
      </c>
    </row>
    <row r="250" spans="2:8">
      <c r="B250" s="54">
        <v>43543</v>
      </c>
      <c r="C250" s="46">
        <v>69.610000999999997</v>
      </c>
      <c r="D250" s="55">
        <f t="shared" si="6"/>
        <v>3.1705145290460922E-3</v>
      </c>
      <c r="F250" s="60">
        <v>43543</v>
      </c>
      <c r="G250" s="47">
        <v>60.276935999999999</v>
      </c>
      <c r="H250" s="55">
        <f t="shared" si="7"/>
        <v>-6.181626820341812E-4</v>
      </c>
    </row>
    <row r="251" spans="2:8">
      <c r="B251" s="54">
        <v>43544</v>
      </c>
      <c r="C251" s="46">
        <v>69.569999999999993</v>
      </c>
      <c r="D251" s="55">
        <f t="shared" si="6"/>
        <v>-5.7464443938168785E-4</v>
      </c>
      <c r="F251" s="60">
        <v>43544</v>
      </c>
      <c r="G251" s="47">
        <v>60.042121999999999</v>
      </c>
      <c r="H251" s="55">
        <f t="shared" si="7"/>
        <v>-3.8955861990065334E-3</v>
      </c>
    </row>
    <row r="252" spans="2:8">
      <c r="B252" s="54">
        <v>43545</v>
      </c>
      <c r="C252" s="46">
        <v>71.489998</v>
      </c>
      <c r="D252" s="55">
        <f t="shared" si="6"/>
        <v>2.7598073882420682E-2</v>
      </c>
      <c r="F252" s="60">
        <v>43545</v>
      </c>
      <c r="G252" s="47">
        <v>60.734413000000004</v>
      </c>
      <c r="H252" s="55">
        <f t="shared" si="7"/>
        <v>1.153008882664081E-2</v>
      </c>
    </row>
    <row r="253" spans="2:8">
      <c r="B253" s="54">
        <v>43546</v>
      </c>
      <c r="C253" s="46">
        <v>70.309997999999993</v>
      </c>
      <c r="D253" s="55">
        <f t="shared" si="6"/>
        <v>-1.6505805469458915E-2</v>
      </c>
      <c r="F253" s="60">
        <v>43546</v>
      </c>
      <c r="G253" s="47">
        <v>59.490169999999999</v>
      </c>
      <c r="H253" s="55">
        <f t="shared" si="7"/>
        <v>-2.0486622633530752E-2</v>
      </c>
    </row>
    <row r="254" spans="2:8">
      <c r="B254" s="54">
        <v>43549</v>
      </c>
      <c r="C254" s="46">
        <v>70.279999000000004</v>
      </c>
      <c r="D254" s="55">
        <f t="shared" si="6"/>
        <v>-4.2666762698513307E-4</v>
      </c>
      <c r="F254" s="60">
        <v>43549</v>
      </c>
      <c r="G254" s="47">
        <v>59.415329</v>
      </c>
      <c r="H254" s="55">
        <f t="shared" si="7"/>
        <v>-1.2580397736298159E-3</v>
      </c>
    </row>
    <row r="255" spans="2:8">
      <c r="B255" s="54">
        <v>43550</v>
      </c>
      <c r="C255" s="46">
        <v>72.040001000000004</v>
      </c>
      <c r="D255" s="55">
        <f t="shared" si="6"/>
        <v>2.5042715211194014E-2</v>
      </c>
      <c r="F255" s="60">
        <v>43550</v>
      </c>
      <c r="G255" s="47">
        <v>59.901794000000002</v>
      </c>
      <c r="H255" s="55">
        <f t="shared" si="7"/>
        <v>8.1875335572071401E-3</v>
      </c>
    </row>
    <row r="256" spans="2:8">
      <c r="B256" s="54">
        <v>43551</v>
      </c>
      <c r="C256" s="46">
        <v>70.699996999999996</v>
      </c>
      <c r="D256" s="55">
        <f t="shared" si="6"/>
        <v>-1.860083261242608E-2</v>
      </c>
      <c r="F256" s="60">
        <v>43551</v>
      </c>
      <c r="G256" s="47">
        <v>59.611778000000001</v>
      </c>
      <c r="H256" s="55">
        <f t="shared" si="7"/>
        <v>-4.8415244458288069E-3</v>
      </c>
    </row>
    <row r="257" spans="2:8">
      <c r="B257" s="54">
        <v>43552</v>
      </c>
      <c r="C257" s="46">
        <v>70.870002999999997</v>
      </c>
      <c r="D257" s="55">
        <f t="shared" si="6"/>
        <v>2.4046111345662545E-3</v>
      </c>
      <c r="F257" s="60">
        <v>43552</v>
      </c>
      <c r="G257" s="47">
        <v>59.892437000000001</v>
      </c>
      <c r="H257" s="55">
        <f t="shared" si="7"/>
        <v>4.7081132188340358E-3</v>
      </c>
    </row>
    <row r="258" spans="2:8">
      <c r="B258" s="54">
        <v>43553</v>
      </c>
      <c r="C258" s="46">
        <v>71.529999000000004</v>
      </c>
      <c r="D258" s="55">
        <f t="shared" si="6"/>
        <v>9.3127694660885899E-3</v>
      </c>
      <c r="F258" s="60">
        <v>43553</v>
      </c>
      <c r="G258" s="47">
        <v>60.247951999999998</v>
      </c>
      <c r="H258" s="55">
        <f t="shared" si="7"/>
        <v>5.9358913713929672E-3</v>
      </c>
    </row>
    <row r="259" spans="2:8">
      <c r="B259" s="54">
        <v>43556</v>
      </c>
      <c r="C259" s="46">
        <v>72</v>
      </c>
      <c r="D259" s="55">
        <f t="shared" si="6"/>
        <v>6.570683721105551E-3</v>
      </c>
      <c r="F259" s="60">
        <v>43556</v>
      </c>
      <c r="G259" s="47">
        <v>60.958939000000001</v>
      </c>
      <c r="H259" s="55">
        <f t="shared" si="7"/>
        <v>1.1801015244468442E-2</v>
      </c>
    </row>
    <row r="260" spans="2:8">
      <c r="B260" s="54">
        <v>43557</v>
      </c>
      <c r="C260" s="46">
        <v>71.790001000000004</v>
      </c>
      <c r="D260" s="55">
        <f t="shared" si="6"/>
        <v>-2.916652777777726E-3</v>
      </c>
      <c r="F260" s="60">
        <v>43557</v>
      </c>
      <c r="G260" s="47">
        <v>60.958939000000001</v>
      </c>
      <c r="H260" s="55">
        <f t="shared" si="7"/>
        <v>0</v>
      </c>
    </row>
    <row r="261" spans="2:8">
      <c r="B261" s="54">
        <v>43558</v>
      </c>
      <c r="C261" s="46">
        <v>72.059997999999993</v>
      </c>
      <c r="D261" s="55">
        <f t="shared" si="6"/>
        <v>3.7609276534205562E-3</v>
      </c>
      <c r="F261" s="60">
        <v>43558</v>
      </c>
      <c r="G261" s="47">
        <v>61.108620000000002</v>
      </c>
      <c r="H261" s="55">
        <f t="shared" si="7"/>
        <v>2.4554397182011494E-3</v>
      </c>
    </row>
    <row r="262" spans="2:8">
      <c r="B262" s="54">
        <v>43559</v>
      </c>
      <c r="C262" s="46">
        <v>71.470000999999996</v>
      </c>
      <c r="D262" s="55">
        <f t="shared" ref="D262:D325" si="8">(C262-C261)/C261</f>
        <v>-8.1875800218589624E-3</v>
      </c>
      <c r="F262" s="60">
        <v>43559</v>
      </c>
      <c r="G262" s="47">
        <v>61.248947000000001</v>
      </c>
      <c r="H262" s="55">
        <f t="shared" ref="H262:H325" si="9">(G262-G261)/G261</f>
        <v>2.2963536077234142E-3</v>
      </c>
    </row>
    <row r="263" spans="2:8">
      <c r="B263" s="54">
        <v>43560</v>
      </c>
      <c r="C263" s="46">
        <v>72</v>
      </c>
      <c r="D263" s="55">
        <f t="shared" si="8"/>
        <v>7.4156847989970461E-3</v>
      </c>
      <c r="F263" s="60">
        <v>43560</v>
      </c>
      <c r="G263" s="47">
        <v>61.567031999999998</v>
      </c>
      <c r="H263" s="55">
        <f t="shared" si="9"/>
        <v>5.1933137723983464E-3</v>
      </c>
    </row>
    <row r="264" spans="2:8">
      <c r="B264" s="54">
        <v>43563</v>
      </c>
      <c r="C264" s="46">
        <v>72.230002999999996</v>
      </c>
      <c r="D264" s="55">
        <f t="shared" si="8"/>
        <v>3.1944861111110612E-3</v>
      </c>
      <c r="F264" s="60">
        <v>43563</v>
      </c>
      <c r="G264" s="47">
        <v>61.604458000000001</v>
      </c>
      <c r="H264" s="55">
        <f t="shared" si="9"/>
        <v>6.0789027478218402E-4</v>
      </c>
    </row>
    <row r="265" spans="2:8">
      <c r="B265" s="54">
        <v>43564</v>
      </c>
      <c r="C265" s="46">
        <v>71.519997000000004</v>
      </c>
      <c r="D265" s="55">
        <f t="shared" si="8"/>
        <v>-9.8297933062524295E-3</v>
      </c>
      <c r="F265" s="60">
        <v>43564</v>
      </c>
      <c r="G265" s="47">
        <v>61.211528999999999</v>
      </c>
      <c r="H265" s="55">
        <f t="shared" si="9"/>
        <v>-6.3782559372570456E-3</v>
      </c>
    </row>
    <row r="266" spans="2:8">
      <c r="B266" s="54">
        <v>43565</v>
      </c>
      <c r="C266" s="46">
        <v>72.389999000000003</v>
      </c>
      <c r="D266" s="55">
        <f t="shared" si="8"/>
        <v>1.2164458004661262E-2</v>
      </c>
      <c r="F266" s="60">
        <v>43565</v>
      </c>
      <c r="G266" s="47">
        <v>61.538970999999997</v>
      </c>
      <c r="H266" s="55">
        <f t="shared" si="9"/>
        <v>5.349351753654084E-3</v>
      </c>
    </row>
    <row r="267" spans="2:8">
      <c r="B267" s="54">
        <v>43566</v>
      </c>
      <c r="C267" s="46">
        <v>72.489998</v>
      </c>
      <c r="D267" s="55">
        <f t="shared" si="8"/>
        <v>1.3813924766043558E-3</v>
      </c>
      <c r="F267" s="60">
        <v>43566</v>
      </c>
      <c r="G267" s="47">
        <v>61.510894999999998</v>
      </c>
      <c r="H267" s="55">
        <f t="shared" si="9"/>
        <v>-4.5623122297574098E-4</v>
      </c>
    </row>
    <row r="268" spans="2:8">
      <c r="B268" s="54">
        <v>43567</v>
      </c>
      <c r="C268" s="46">
        <v>72.459998999999996</v>
      </c>
      <c r="D268" s="55">
        <f t="shared" si="8"/>
        <v>-4.1383640264417804E-4</v>
      </c>
      <c r="F268" s="60">
        <v>43567</v>
      </c>
      <c r="G268" s="47">
        <v>61.875754999999998</v>
      </c>
      <c r="H268" s="55">
        <f t="shared" si="9"/>
        <v>5.9316321116771294E-3</v>
      </c>
    </row>
    <row r="269" spans="2:8">
      <c r="B269" s="54">
        <v>43570</v>
      </c>
      <c r="C269" s="46">
        <v>73.089995999999999</v>
      </c>
      <c r="D269" s="55">
        <f t="shared" si="8"/>
        <v>8.6944108293460377E-3</v>
      </c>
      <c r="F269" s="60">
        <v>43570</v>
      </c>
      <c r="G269" s="47">
        <v>61.875754999999998</v>
      </c>
      <c r="H269" s="55">
        <f t="shared" si="9"/>
        <v>0</v>
      </c>
    </row>
    <row r="270" spans="2:8">
      <c r="B270" s="54">
        <v>43571</v>
      </c>
      <c r="C270" s="46">
        <v>72.779999000000004</v>
      </c>
      <c r="D270" s="55">
        <f t="shared" si="8"/>
        <v>-4.2413054722289989E-3</v>
      </c>
      <c r="F270" s="60">
        <v>43571</v>
      </c>
      <c r="G270" s="47">
        <v>61.857062999999997</v>
      </c>
      <c r="H270" s="55">
        <f t="shared" si="9"/>
        <v>-3.0208924319390502E-4</v>
      </c>
    </row>
    <row r="271" spans="2:8">
      <c r="B271" s="54">
        <v>43572</v>
      </c>
      <c r="C271" s="46">
        <v>72.180000000000007</v>
      </c>
      <c r="D271" s="55">
        <f t="shared" si="8"/>
        <v>-8.244009456499125E-3</v>
      </c>
      <c r="F271" s="60">
        <v>43572</v>
      </c>
      <c r="G271" s="47">
        <v>61.679290999999999</v>
      </c>
      <c r="H271" s="55">
        <f t="shared" si="9"/>
        <v>-2.8739159503902954E-3</v>
      </c>
    </row>
    <row r="272" spans="2:8">
      <c r="B272" s="54">
        <v>43573</v>
      </c>
      <c r="C272" s="46">
        <v>72.160004000000001</v>
      </c>
      <c r="D272" s="55">
        <f t="shared" si="8"/>
        <v>-2.7702964810205204E-4</v>
      </c>
      <c r="F272" s="60">
        <v>43573</v>
      </c>
      <c r="G272" s="47">
        <v>61.782207</v>
      </c>
      <c r="H272" s="55">
        <f t="shared" si="9"/>
        <v>1.6685665209737973E-3</v>
      </c>
    </row>
    <row r="273" spans="2:8">
      <c r="B273" s="54">
        <v>43577</v>
      </c>
      <c r="C273" s="46">
        <v>72.919998000000007</v>
      </c>
      <c r="D273" s="55">
        <f t="shared" si="8"/>
        <v>1.0532067043677077E-2</v>
      </c>
      <c r="F273" s="60">
        <v>43577</v>
      </c>
      <c r="G273" s="47">
        <v>61.791569000000003</v>
      </c>
      <c r="H273" s="55">
        <f t="shared" si="9"/>
        <v>1.5153230120126622E-4</v>
      </c>
    </row>
    <row r="274" spans="2:8">
      <c r="B274" s="54">
        <v>43578</v>
      </c>
      <c r="C274" s="46">
        <v>74.319999999999993</v>
      </c>
      <c r="D274" s="55">
        <f t="shared" si="8"/>
        <v>1.9199150279735146E-2</v>
      </c>
      <c r="F274" s="60">
        <v>43578</v>
      </c>
      <c r="G274" s="47">
        <v>62.362243999999997</v>
      </c>
      <c r="H274" s="55">
        <f t="shared" si="9"/>
        <v>9.2354832420583829E-3</v>
      </c>
    </row>
    <row r="275" spans="2:8">
      <c r="B275" s="54">
        <v>43579</v>
      </c>
      <c r="C275" s="46">
        <v>74.5</v>
      </c>
      <c r="D275" s="55">
        <f t="shared" si="8"/>
        <v>2.4219590958020295E-3</v>
      </c>
      <c r="F275" s="60">
        <v>43579</v>
      </c>
      <c r="G275" s="47">
        <v>62.296745000000001</v>
      </c>
      <c r="H275" s="55">
        <f t="shared" si="9"/>
        <v>-1.0502989597358865E-3</v>
      </c>
    </row>
    <row r="276" spans="2:8">
      <c r="B276" s="54">
        <v>43580</v>
      </c>
      <c r="C276" s="46">
        <v>73.569999999999993</v>
      </c>
      <c r="D276" s="55">
        <f t="shared" si="8"/>
        <v>-1.2483221476510159E-2</v>
      </c>
      <c r="F276" s="60">
        <v>43580</v>
      </c>
      <c r="G276" s="47">
        <v>62.203178000000001</v>
      </c>
      <c r="H276" s="55">
        <f t="shared" si="9"/>
        <v>-1.5019564826380604E-3</v>
      </c>
    </row>
    <row r="277" spans="2:8">
      <c r="B277" s="54">
        <v>43581</v>
      </c>
      <c r="C277" s="46">
        <v>74.239998</v>
      </c>
      <c r="D277" s="55">
        <f t="shared" si="8"/>
        <v>9.1069457659372945E-3</v>
      </c>
      <c r="F277" s="60">
        <v>43581</v>
      </c>
      <c r="G277" s="47">
        <v>62.502552000000001</v>
      </c>
      <c r="H277" s="55">
        <f t="shared" si="9"/>
        <v>4.8128409130478869E-3</v>
      </c>
    </row>
    <row r="278" spans="2:8">
      <c r="B278" s="54">
        <v>43584</v>
      </c>
      <c r="C278" s="46">
        <v>75.160004000000001</v>
      </c>
      <c r="D278" s="55">
        <f t="shared" si="8"/>
        <v>1.2392322532120768E-2</v>
      </c>
      <c r="F278" s="60">
        <v>43584</v>
      </c>
      <c r="G278" s="47">
        <v>62.63353</v>
      </c>
      <c r="H278" s="55">
        <f t="shared" si="9"/>
        <v>2.0955624339946779E-3</v>
      </c>
    </row>
    <row r="279" spans="2:8">
      <c r="B279" s="54">
        <v>43585</v>
      </c>
      <c r="C279" s="46">
        <v>76</v>
      </c>
      <c r="D279" s="55">
        <f t="shared" si="8"/>
        <v>1.117610371601363E-2</v>
      </c>
      <c r="F279" s="60">
        <v>43585</v>
      </c>
      <c r="G279" s="47">
        <v>62.586765</v>
      </c>
      <c r="H279" s="55">
        <f t="shared" si="9"/>
        <v>-7.4664480829997304E-4</v>
      </c>
    </row>
    <row r="280" spans="2:8">
      <c r="B280" s="54">
        <v>43586</v>
      </c>
      <c r="C280" s="46">
        <v>70.900002000000001</v>
      </c>
      <c r="D280" s="55">
        <f t="shared" si="8"/>
        <v>-6.7105236842105259E-2</v>
      </c>
      <c r="F280" s="60">
        <v>43586</v>
      </c>
      <c r="G280" s="47">
        <v>62.156433</v>
      </c>
      <c r="H280" s="55">
        <f t="shared" si="9"/>
        <v>-6.8757667855176719E-3</v>
      </c>
    </row>
    <row r="281" spans="2:8">
      <c r="B281" s="54">
        <v>43587</v>
      </c>
      <c r="C281" s="46">
        <v>71.370002999999997</v>
      </c>
      <c r="D281" s="55">
        <f t="shared" si="8"/>
        <v>6.6290689244267766E-3</v>
      </c>
      <c r="F281" s="60">
        <v>43587</v>
      </c>
      <c r="G281" s="47">
        <v>62.081566000000002</v>
      </c>
      <c r="H281" s="55">
        <f t="shared" si="9"/>
        <v>-1.2044931857656243E-3</v>
      </c>
    </row>
    <row r="282" spans="2:8">
      <c r="B282" s="54">
        <v>43588</v>
      </c>
      <c r="C282" s="46">
        <v>71.830001999999993</v>
      </c>
      <c r="D282" s="55">
        <f t="shared" si="8"/>
        <v>6.4452708513967174E-3</v>
      </c>
      <c r="F282" s="60">
        <v>43588</v>
      </c>
      <c r="G282" s="47">
        <v>62.736443000000001</v>
      </c>
      <c r="H282" s="55">
        <f t="shared" si="9"/>
        <v>1.0548654652171613E-2</v>
      </c>
    </row>
    <row r="283" spans="2:8">
      <c r="B283" s="54">
        <v>43591</v>
      </c>
      <c r="C283" s="46">
        <v>71.160004000000001</v>
      </c>
      <c r="D283" s="55">
        <f t="shared" si="8"/>
        <v>-9.3275509027549875E-3</v>
      </c>
      <c r="F283" s="60">
        <v>43591</v>
      </c>
      <c r="G283" s="47">
        <v>62.530613000000002</v>
      </c>
      <c r="H283" s="55">
        <f t="shared" si="9"/>
        <v>-3.2808681869324159E-3</v>
      </c>
    </row>
    <row r="284" spans="2:8">
      <c r="B284" s="54">
        <v>43592</v>
      </c>
      <c r="C284" s="46">
        <v>70.230002999999996</v>
      </c>
      <c r="D284" s="55">
        <f t="shared" si="8"/>
        <v>-1.306915328447711E-2</v>
      </c>
      <c r="F284" s="60">
        <v>43592</v>
      </c>
      <c r="G284" s="47">
        <v>61.454768999999999</v>
      </c>
      <c r="H284" s="55">
        <f t="shared" si="9"/>
        <v>-1.7205076815735094E-2</v>
      </c>
    </row>
    <row r="285" spans="2:8">
      <c r="B285" s="54">
        <v>43593</v>
      </c>
      <c r="C285" s="46">
        <v>69.949996999999996</v>
      </c>
      <c r="D285" s="55">
        <f t="shared" si="8"/>
        <v>-3.9869854483702673E-3</v>
      </c>
      <c r="F285" s="60">
        <v>43593</v>
      </c>
      <c r="G285" s="47">
        <v>61.351855999999998</v>
      </c>
      <c r="H285" s="55">
        <f t="shared" si="9"/>
        <v>-1.6746137309539139E-3</v>
      </c>
    </row>
    <row r="286" spans="2:8">
      <c r="B286" s="54">
        <v>43594</v>
      </c>
      <c r="C286" s="46">
        <v>69.779999000000004</v>
      </c>
      <c r="D286" s="55">
        <f t="shared" si="8"/>
        <v>-2.4302788747795449E-3</v>
      </c>
      <c r="F286" s="60">
        <v>43594</v>
      </c>
      <c r="G286" s="47">
        <v>61.155399000000003</v>
      </c>
      <c r="H286" s="55">
        <f t="shared" si="9"/>
        <v>-3.202136215732336E-3</v>
      </c>
    </row>
    <row r="287" spans="2:8">
      <c r="B287" s="54">
        <v>43595</v>
      </c>
      <c r="C287" s="46">
        <v>69.919998000000007</v>
      </c>
      <c r="D287" s="55">
        <f t="shared" si="8"/>
        <v>2.006291229668878E-3</v>
      </c>
      <c r="F287" s="60">
        <v>43595</v>
      </c>
      <c r="G287" s="47">
        <v>61.426720000000003</v>
      </c>
      <c r="H287" s="55">
        <f t="shared" si="9"/>
        <v>4.4365829417612069E-3</v>
      </c>
    </row>
    <row r="288" spans="2:8">
      <c r="B288" s="54">
        <v>43598</v>
      </c>
      <c r="C288" s="46">
        <v>68</v>
      </c>
      <c r="D288" s="55">
        <f t="shared" si="8"/>
        <v>-2.7459926414757713E-2</v>
      </c>
      <c r="F288" s="60">
        <v>43598</v>
      </c>
      <c r="G288" s="47">
        <v>59.873725999999998</v>
      </c>
      <c r="H288" s="55">
        <f t="shared" si="9"/>
        <v>-2.5282059663937862E-2</v>
      </c>
    </row>
    <row r="289" spans="2:8">
      <c r="B289" s="54">
        <v>43599</v>
      </c>
      <c r="C289" s="46">
        <v>68.169998000000007</v>
      </c>
      <c r="D289" s="55">
        <f t="shared" si="8"/>
        <v>2.4999705882353934E-3</v>
      </c>
      <c r="F289" s="60">
        <v>43599</v>
      </c>
      <c r="G289" s="47">
        <v>60.406981999999999</v>
      </c>
      <c r="H289" s="55">
        <f t="shared" si="9"/>
        <v>8.9063439946931236E-3</v>
      </c>
    </row>
    <row r="290" spans="2:8">
      <c r="B290" s="54">
        <v>43600</v>
      </c>
      <c r="C290" s="46">
        <v>68.050003000000004</v>
      </c>
      <c r="D290" s="55">
        <f t="shared" si="8"/>
        <v>-1.7602318251498693E-3</v>
      </c>
      <c r="F290" s="60">
        <v>43600</v>
      </c>
      <c r="G290" s="47">
        <v>60.771842999999997</v>
      </c>
      <c r="H290" s="55">
        <f t="shared" si="9"/>
        <v>6.0400468276994483E-3</v>
      </c>
    </row>
    <row r="291" spans="2:8">
      <c r="B291" s="54">
        <v>43601</v>
      </c>
      <c r="C291" s="46">
        <v>68.709998999999996</v>
      </c>
      <c r="D291" s="55">
        <f t="shared" si="8"/>
        <v>9.6986917105645453E-3</v>
      </c>
      <c r="F291" s="60">
        <v>43601</v>
      </c>
      <c r="G291" s="47">
        <v>61.323791999999997</v>
      </c>
      <c r="H291" s="55">
        <f t="shared" si="9"/>
        <v>9.082314650223796E-3</v>
      </c>
    </row>
    <row r="292" spans="2:8">
      <c r="B292" s="54">
        <v>43602</v>
      </c>
      <c r="C292" s="46">
        <v>67.769997000000004</v>
      </c>
      <c r="D292" s="55">
        <f t="shared" si="8"/>
        <v>-1.3680716252084252E-2</v>
      </c>
      <c r="F292" s="60">
        <v>43602</v>
      </c>
      <c r="G292" s="47">
        <v>60.893456</v>
      </c>
      <c r="H292" s="55">
        <f t="shared" si="9"/>
        <v>-7.0174394955875687E-3</v>
      </c>
    </row>
    <row r="293" spans="2:8">
      <c r="B293" s="54">
        <v>43605</v>
      </c>
      <c r="C293" s="46">
        <v>67.959998999999996</v>
      </c>
      <c r="D293" s="55">
        <f t="shared" si="8"/>
        <v>2.8036300488546969E-3</v>
      </c>
      <c r="F293" s="60">
        <v>43605</v>
      </c>
      <c r="G293" s="47">
        <v>60.472465999999997</v>
      </c>
      <c r="H293" s="55">
        <f t="shared" si="9"/>
        <v>-6.913550776293651E-3</v>
      </c>
    </row>
    <row r="294" spans="2:8">
      <c r="B294" s="54">
        <v>43606</v>
      </c>
      <c r="C294" s="46">
        <v>69.120002999999997</v>
      </c>
      <c r="D294" s="55">
        <f t="shared" si="8"/>
        <v>1.7068923146982402E-2</v>
      </c>
      <c r="F294" s="60">
        <v>43606</v>
      </c>
      <c r="G294" s="47">
        <v>61.043140000000001</v>
      </c>
      <c r="H294" s="55">
        <f t="shared" si="9"/>
        <v>9.4369229129833056E-3</v>
      </c>
    </row>
    <row r="295" spans="2:8">
      <c r="B295" s="54">
        <v>43607</v>
      </c>
      <c r="C295" s="46">
        <v>68.209998999999996</v>
      </c>
      <c r="D295" s="55">
        <f t="shared" si="8"/>
        <v>-1.316556655820748E-2</v>
      </c>
      <c r="F295" s="60">
        <v>43607</v>
      </c>
      <c r="G295" s="47">
        <v>60.771842999999997</v>
      </c>
      <c r="H295" s="55">
        <f t="shared" si="9"/>
        <v>-4.4443487015904505E-3</v>
      </c>
    </row>
    <row r="296" spans="2:8">
      <c r="B296" s="54">
        <v>43608</v>
      </c>
      <c r="C296" s="46">
        <v>66.400002000000001</v>
      </c>
      <c r="D296" s="55">
        <f t="shared" si="8"/>
        <v>-2.6535654985129022E-2</v>
      </c>
      <c r="F296" s="60">
        <v>43608</v>
      </c>
      <c r="G296" s="47">
        <v>60.042121999999999</v>
      </c>
      <c r="H296" s="55">
        <f t="shared" si="9"/>
        <v>-1.200755093111127E-2</v>
      </c>
    </row>
    <row r="297" spans="2:8">
      <c r="B297" s="54">
        <v>43609</v>
      </c>
      <c r="C297" s="46">
        <v>66.809997999999993</v>
      </c>
      <c r="D297" s="55">
        <f t="shared" si="8"/>
        <v>6.1746383682336706E-3</v>
      </c>
      <c r="F297" s="60">
        <v>43609</v>
      </c>
      <c r="G297" s="47">
        <v>60.145031000000003</v>
      </c>
      <c r="H297" s="55">
        <f t="shared" si="9"/>
        <v>1.7139467522484285E-3</v>
      </c>
    </row>
    <row r="298" spans="2:8">
      <c r="B298" s="54">
        <v>43613</v>
      </c>
      <c r="C298" s="46">
        <v>64.989998</v>
      </c>
      <c r="D298" s="55">
        <f t="shared" si="8"/>
        <v>-2.7241431739003993E-2</v>
      </c>
      <c r="F298" s="60">
        <v>43613</v>
      </c>
      <c r="G298" s="47">
        <v>59.611778000000001</v>
      </c>
      <c r="H298" s="55">
        <f t="shared" si="9"/>
        <v>-8.8661189650064681E-3</v>
      </c>
    </row>
    <row r="299" spans="2:8">
      <c r="B299" s="54">
        <v>43614</v>
      </c>
      <c r="C299" s="46">
        <v>64.040001000000004</v>
      </c>
      <c r="D299" s="55">
        <f t="shared" si="8"/>
        <v>-1.4617587770967406E-2</v>
      </c>
      <c r="F299" s="60">
        <v>43614</v>
      </c>
      <c r="G299" s="47">
        <v>59.256278999999999</v>
      </c>
      <c r="H299" s="55">
        <f t="shared" si="9"/>
        <v>-5.9635698166896111E-3</v>
      </c>
    </row>
    <row r="300" spans="2:8">
      <c r="B300" s="54">
        <v>43615</v>
      </c>
      <c r="C300" s="46">
        <v>63.849997999999999</v>
      </c>
      <c r="D300" s="55">
        <f t="shared" si="8"/>
        <v>-2.9669424895856005E-3</v>
      </c>
      <c r="F300" s="60">
        <v>43615</v>
      </c>
      <c r="G300" s="47">
        <v>59.377898999999999</v>
      </c>
      <c r="H300" s="55">
        <f t="shared" si="9"/>
        <v>2.0524407210921912E-3</v>
      </c>
    </row>
    <row r="301" spans="2:8">
      <c r="B301" s="54">
        <v>43616</v>
      </c>
      <c r="C301" s="46">
        <v>64.120002999999997</v>
      </c>
      <c r="D301" s="55">
        <f t="shared" si="8"/>
        <v>4.2287393650348682E-3</v>
      </c>
      <c r="F301" s="60">
        <v>43616</v>
      </c>
      <c r="G301" s="47">
        <v>58.610767000000003</v>
      </c>
      <c r="H301" s="55">
        <f t="shared" si="9"/>
        <v>-1.291948709737939E-2</v>
      </c>
    </row>
    <row r="302" spans="2:8">
      <c r="B302" s="54">
        <v>43619</v>
      </c>
      <c r="C302" s="46">
        <v>64.639999000000003</v>
      </c>
      <c r="D302" s="55">
        <f t="shared" si="8"/>
        <v>8.1097313735310674E-3</v>
      </c>
      <c r="F302" s="60">
        <v>43619</v>
      </c>
      <c r="G302" s="47">
        <v>58.442371000000001</v>
      </c>
      <c r="H302" s="55">
        <f t="shared" si="9"/>
        <v>-2.8731239773743503E-3</v>
      </c>
    </row>
    <row r="303" spans="2:8">
      <c r="B303" s="54">
        <v>43620</v>
      </c>
      <c r="C303" s="46">
        <v>65.650002000000001</v>
      </c>
      <c r="D303" s="55">
        <f t="shared" si="8"/>
        <v>1.5625046652615163E-2</v>
      </c>
      <c r="F303" s="60">
        <v>43620</v>
      </c>
      <c r="G303" s="47">
        <v>59.733395000000002</v>
      </c>
      <c r="H303" s="55">
        <f t="shared" si="9"/>
        <v>2.2090547969041162E-2</v>
      </c>
    </row>
    <row r="304" spans="2:8">
      <c r="B304" s="54">
        <v>43621</v>
      </c>
      <c r="C304" s="46">
        <v>66.839995999999999</v>
      </c>
      <c r="D304" s="55">
        <f t="shared" si="8"/>
        <v>1.8126336081452039E-2</v>
      </c>
      <c r="F304" s="60">
        <v>43621</v>
      </c>
      <c r="G304" s="47">
        <v>60.238585999999998</v>
      </c>
      <c r="H304" s="55">
        <f t="shared" si="9"/>
        <v>8.4574298849077034E-3</v>
      </c>
    </row>
    <row r="305" spans="2:8">
      <c r="B305" s="54">
        <v>43622</v>
      </c>
      <c r="C305" s="46">
        <v>66.449996999999996</v>
      </c>
      <c r="D305" s="55">
        <f t="shared" si="8"/>
        <v>-5.834814831526966E-3</v>
      </c>
      <c r="F305" s="60">
        <v>43622</v>
      </c>
      <c r="G305" s="47">
        <v>60.566017000000002</v>
      </c>
      <c r="H305" s="55">
        <f t="shared" si="9"/>
        <v>5.4355691549599827E-3</v>
      </c>
    </row>
    <row r="306" spans="2:8">
      <c r="B306" s="54">
        <v>43623</v>
      </c>
      <c r="C306" s="46">
        <v>65.940002000000007</v>
      </c>
      <c r="D306" s="55">
        <f t="shared" si="8"/>
        <v>-7.6748686685416904E-3</v>
      </c>
      <c r="F306" s="60">
        <v>43623</v>
      </c>
      <c r="G306" s="47">
        <v>61.155399000000003</v>
      </c>
      <c r="H306" s="55">
        <f t="shared" si="9"/>
        <v>9.731232615147873E-3</v>
      </c>
    </row>
    <row r="307" spans="2:8">
      <c r="B307" s="54">
        <v>43626</v>
      </c>
      <c r="C307" s="46">
        <v>66.669998000000007</v>
      </c>
      <c r="D307" s="55">
        <f t="shared" si="8"/>
        <v>1.1070609309353673E-2</v>
      </c>
      <c r="F307" s="60">
        <v>43626</v>
      </c>
      <c r="G307" s="47">
        <v>61.464118999999997</v>
      </c>
      <c r="H307" s="55">
        <f t="shared" si="9"/>
        <v>5.0481233880919308E-3</v>
      </c>
    </row>
    <row r="308" spans="2:8">
      <c r="B308" s="54">
        <v>43627</v>
      </c>
      <c r="C308" s="46">
        <v>66.910004000000001</v>
      </c>
      <c r="D308" s="55">
        <f t="shared" si="8"/>
        <v>3.5999101124915877E-3</v>
      </c>
      <c r="F308" s="60">
        <v>43627</v>
      </c>
      <c r="G308" s="47">
        <v>61.370570999999998</v>
      </c>
      <c r="H308" s="55">
        <f t="shared" si="9"/>
        <v>-1.5219936691844296E-3</v>
      </c>
    </row>
    <row r="309" spans="2:8">
      <c r="B309" s="54">
        <v>43628</v>
      </c>
      <c r="C309" s="46">
        <v>67.139999000000003</v>
      </c>
      <c r="D309" s="55">
        <f t="shared" si="8"/>
        <v>3.4373783627333573E-3</v>
      </c>
      <c r="F309" s="60">
        <v>43628</v>
      </c>
      <c r="G309" s="47">
        <v>61.277026999999997</v>
      </c>
      <c r="H309" s="55">
        <f t="shared" si="9"/>
        <v>-1.5242484871128444E-3</v>
      </c>
    </row>
    <row r="310" spans="2:8">
      <c r="B310" s="54">
        <v>43629</v>
      </c>
      <c r="C310" s="46">
        <v>66.879997000000003</v>
      </c>
      <c r="D310" s="55">
        <f t="shared" si="8"/>
        <v>-3.8725350591679343E-3</v>
      </c>
      <c r="F310" s="60">
        <v>43629</v>
      </c>
      <c r="G310" s="47">
        <v>61.651229999999998</v>
      </c>
      <c r="H310" s="55">
        <f t="shared" si="9"/>
        <v>6.1067420911266046E-3</v>
      </c>
    </row>
    <row r="311" spans="2:8">
      <c r="B311" s="54">
        <v>43630</v>
      </c>
      <c r="C311" s="46">
        <v>66.400002000000001</v>
      </c>
      <c r="D311" s="55">
        <f t="shared" si="8"/>
        <v>-7.1769590539904234E-3</v>
      </c>
      <c r="F311" s="60">
        <v>43630</v>
      </c>
      <c r="G311" s="47">
        <v>61.501545</v>
      </c>
      <c r="H311" s="55">
        <f t="shared" si="9"/>
        <v>-2.4279320947854254E-3</v>
      </c>
    </row>
    <row r="312" spans="2:8">
      <c r="B312" s="54">
        <v>43633</v>
      </c>
      <c r="C312" s="46">
        <v>67.400002000000001</v>
      </c>
      <c r="D312" s="55">
        <f t="shared" si="8"/>
        <v>1.5060240510233719E-2</v>
      </c>
      <c r="F312" s="60">
        <v>43633</v>
      </c>
      <c r="G312" s="47">
        <v>61.573977999999997</v>
      </c>
      <c r="H312" s="55">
        <f t="shared" si="9"/>
        <v>1.1777427705270923E-3</v>
      </c>
    </row>
    <row r="313" spans="2:8">
      <c r="B313" s="54">
        <v>43634</v>
      </c>
      <c r="C313" s="46">
        <v>67.849997999999999</v>
      </c>
      <c r="D313" s="55">
        <f t="shared" si="8"/>
        <v>6.6764983182047788E-3</v>
      </c>
      <c r="F313" s="60">
        <v>43634</v>
      </c>
      <c r="G313" s="47">
        <v>62.204208000000001</v>
      </c>
      <c r="H313" s="55">
        <f t="shared" si="9"/>
        <v>1.0235330255907853E-2</v>
      </c>
    </row>
    <row r="314" spans="2:8">
      <c r="B314" s="54">
        <v>43635</v>
      </c>
      <c r="C314" s="46">
        <v>68.309997999999993</v>
      </c>
      <c r="D314" s="55">
        <f t="shared" si="8"/>
        <v>6.7796612167916907E-3</v>
      </c>
      <c r="F314" s="60">
        <v>43635</v>
      </c>
      <c r="G314" s="47">
        <v>62.326487999999998</v>
      </c>
      <c r="H314" s="55">
        <f t="shared" si="9"/>
        <v>1.9657834080934909E-3</v>
      </c>
    </row>
    <row r="315" spans="2:8">
      <c r="B315" s="54">
        <v>43636</v>
      </c>
      <c r="C315" s="46">
        <v>69.839995999999999</v>
      </c>
      <c r="D315" s="55">
        <f t="shared" si="8"/>
        <v>2.2397863340590442E-2</v>
      </c>
      <c r="F315" s="60">
        <v>43636</v>
      </c>
      <c r="G315" s="47">
        <v>62.937916000000001</v>
      </c>
      <c r="H315" s="55">
        <f t="shared" si="9"/>
        <v>9.8100826730362807E-3</v>
      </c>
    </row>
    <row r="316" spans="2:8">
      <c r="B316" s="54">
        <v>43637</v>
      </c>
      <c r="C316" s="46">
        <v>69.809997999999993</v>
      </c>
      <c r="D316" s="55">
        <f t="shared" si="8"/>
        <v>-4.2952465232108813E-4</v>
      </c>
      <c r="F316" s="60">
        <v>43637</v>
      </c>
      <c r="G316" s="47">
        <v>62.740360000000003</v>
      </c>
      <c r="H316" s="55">
        <f t="shared" si="9"/>
        <v>-3.1389027879473912E-3</v>
      </c>
    </row>
    <row r="317" spans="2:8">
      <c r="B317" s="54">
        <v>43640</v>
      </c>
      <c r="C317" s="46">
        <v>68.239998</v>
      </c>
      <c r="D317" s="55">
        <f t="shared" si="8"/>
        <v>-2.2489615312694798E-2</v>
      </c>
      <c r="F317" s="60">
        <v>43640</v>
      </c>
      <c r="G317" s="47">
        <v>62.636893999999998</v>
      </c>
      <c r="H317" s="55">
        <f t="shared" si="9"/>
        <v>-1.6491139037137258E-3</v>
      </c>
    </row>
    <row r="318" spans="2:8">
      <c r="B318" s="54">
        <v>43641</v>
      </c>
      <c r="C318" s="46">
        <v>68.559997999999993</v>
      </c>
      <c r="D318" s="55">
        <f t="shared" si="8"/>
        <v>4.6893319076591004E-3</v>
      </c>
      <c r="F318" s="60">
        <v>43641</v>
      </c>
      <c r="G318" s="47">
        <v>61.978439000000002</v>
      </c>
      <c r="H318" s="55">
        <f t="shared" si="9"/>
        <v>-1.0512254965899115E-2</v>
      </c>
    </row>
    <row r="319" spans="2:8">
      <c r="B319" s="54">
        <v>43642</v>
      </c>
      <c r="C319" s="46">
        <v>68.839995999999999</v>
      </c>
      <c r="D319" s="55">
        <f t="shared" si="8"/>
        <v>4.0839849499413085E-3</v>
      </c>
      <c r="F319" s="60">
        <v>43642</v>
      </c>
      <c r="G319" s="47">
        <v>61.940826000000001</v>
      </c>
      <c r="H319" s="55">
        <f t="shared" si="9"/>
        <v>-6.0687233507123893E-4</v>
      </c>
    </row>
    <row r="320" spans="2:8">
      <c r="B320" s="54">
        <v>43643</v>
      </c>
      <c r="C320" s="46">
        <v>69.989998</v>
      </c>
      <c r="D320" s="55">
        <f t="shared" si="8"/>
        <v>1.6705433858537712E-2</v>
      </c>
      <c r="F320" s="60">
        <v>43643</v>
      </c>
      <c r="G320" s="47">
        <v>62.260638999999998</v>
      </c>
      <c r="H320" s="55">
        <f t="shared" si="9"/>
        <v>5.1632020535211515E-3</v>
      </c>
    </row>
    <row r="321" spans="2:8">
      <c r="B321" s="54">
        <v>43644</v>
      </c>
      <c r="C321" s="46">
        <v>71.099997999999999</v>
      </c>
      <c r="D321" s="55">
        <f t="shared" si="8"/>
        <v>1.5859408940117406E-2</v>
      </c>
      <c r="F321" s="60">
        <v>43644</v>
      </c>
      <c r="G321" s="47">
        <v>62.674518999999997</v>
      </c>
      <c r="H321" s="55">
        <f t="shared" si="9"/>
        <v>6.6475385837270144E-3</v>
      </c>
    </row>
    <row r="322" spans="2:8">
      <c r="B322" s="54">
        <v>43647</v>
      </c>
      <c r="C322" s="46">
        <v>70.529999000000004</v>
      </c>
      <c r="D322" s="55">
        <f t="shared" si="8"/>
        <v>-8.0168637979426624E-3</v>
      </c>
      <c r="F322" s="60">
        <v>43647</v>
      </c>
      <c r="G322" s="47">
        <v>63.144840000000002</v>
      </c>
      <c r="H322" s="55">
        <f t="shared" si="9"/>
        <v>7.5041820424661823E-3</v>
      </c>
    </row>
    <row r="323" spans="2:8">
      <c r="B323" s="54">
        <v>43648</v>
      </c>
      <c r="C323" s="46">
        <v>70.199996999999996</v>
      </c>
      <c r="D323" s="55">
        <f t="shared" si="8"/>
        <v>-4.67888848261585E-3</v>
      </c>
      <c r="F323" s="60">
        <v>43648</v>
      </c>
      <c r="G323" s="47">
        <v>63.285919</v>
      </c>
      <c r="H323" s="55">
        <f t="shared" si="9"/>
        <v>2.2342126450870369E-3</v>
      </c>
    </row>
    <row r="324" spans="2:8">
      <c r="B324" s="54">
        <v>43649</v>
      </c>
      <c r="C324" s="46">
        <v>70.669998000000007</v>
      </c>
      <c r="D324" s="55">
        <f t="shared" si="8"/>
        <v>6.695171226289519E-3</v>
      </c>
      <c r="F324" s="60">
        <v>43649</v>
      </c>
      <c r="G324" s="47">
        <v>63.784453999999997</v>
      </c>
      <c r="H324" s="55">
        <f t="shared" si="9"/>
        <v>7.8775027348500191E-3</v>
      </c>
    </row>
    <row r="325" spans="2:8">
      <c r="B325" s="54">
        <v>43651</v>
      </c>
      <c r="C325" s="46">
        <v>71.419998000000007</v>
      </c>
      <c r="D325" s="55">
        <f t="shared" si="8"/>
        <v>1.0612707248130952E-2</v>
      </c>
      <c r="F325" s="60">
        <v>43651</v>
      </c>
      <c r="G325" s="47">
        <v>63.718623999999998</v>
      </c>
      <c r="H325" s="55">
        <f t="shared" si="9"/>
        <v>-1.0320696638713609E-3</v>
      </c>
    </row>
    <row r="326" spans="2:8">
      <c r="B326" s="54">
        <v>43654</v>
      </c>
      <c r="C326" s="46">
        <v>70.489998</v>
      </c>
      <c r="D326" s="55">
        <f t="shared" ref="D326:D389" si="10">(C326-C325)/C325</f>
        <v>-1.3021562952158117E-2</v>
      </c>
      <c r="F326" s="60">
        <v>43654</v>
      </c>
      <c r="G326" s="47">
        <v>63.370601999999998</v>
      </c>
      <c r="H326" s="55">
        <f t="shared" ref="H326:H389" si="11">(G326-G325)/G325</f>
        <v>-5.4618568034363124E-3</v>
      </c>
    </row>
    <row r="327" spans="2:8">
      <c r="B327" s="54">
        <v>43655</v>
      </c>
      <c r="C327" s="46">
        <v>69.339995999999999</v>
      </c>
      <c r="D327" s="55">
        <f t="shared" si="10"/>
        <v>-1.6314399668446587E-2</v>
      </c>
      <c r="F327" s="60">
        <v>43655</v>
      </c>
      <c r="G327" s="47">
        <v>63.530482999999997</v>
      </c>
      <c r="H327" s="55">
        <f t="shared" si="11"/>
        <v>2.5229522042413076E-3</v>
      </c>
    </row>
    <row r="328" spans="2:8">
      <c r="B328" s="54">
        <v>43656</v>
      </c>
      <c r="C328" s="46">
        <v>68.860000999999997</v>
      </c>
      <c r="D328" s="55">
        <f t="shared" si="10"/>
        <v>-6.9223395974814077E-3</v>
      </c>
      <c r="F328" s="60">
        <v>43656</v>
      </c>
      <c r="G328" s="47">
        <v>63.784453999999997</v>
      </c>
      <c r="H328" s="55">
        <f t="shared" si="11"/>
        <v>3.9976242585783575E-3</v>
      </c>
    </row>
    <row r="329" spans="2:8">
      <c r="B329" s="54">
        <v>43657</v>
      </c>
      <c r="C329" s="46">
        <v>68.440002000000007</v>
      </c>
      <c r="D329" s="55">
        <f t="shared" si="10"/>
        <v>-6.0993173671314649E-3</v>
      </c>
      <c r="F329" s="60">
        <v>43657</v>
      </c>
      <c r="G329" s="47">
        <v>63.850304000000001</v>
      </c>
      <c r="H329" s="55">
        <f t="shared" si="11"/>
        <v>1.0323832198987646E-3</v>
      </c>
    </row>
    <row r="330" spans="2:8">
      <c r="B330" s="54">
        <v>43658</v>
      </c>
      <c r="C330" s="46">
        <v>69.779999000000004</v>
      </c>
      <c r="D330" s="55">
        <f t="shared" si="10"/>
        <v>1.9579149047950009E-2</v>
      </c>
      <c r="F330" s="60">
        <v>43658</v>
      </c>
      <c r="G330" s="47">
        <v>64.170135000000002</v>
      </c>
      <c r="H330" s="55">
        <f t="shared" si="11"/>
        <v>5.0090756028350414E-3</v>
      </c>
    </row>
    <row r="331" spans="2:8">
      <c r="B331" s="54">
        <v>43661</v>
      </c>
      <c r="C331" s="46">
        <v>69.279999000000004</v>
      </c>
      <c r="D331" s="55">
        <f t="shared" si="10"/>
        <v>-7.1653770015101311E-3</v>
      </c>
      <c r="F331" s="60">
        <v>43661</v>
      </c>
      <c r="G331" s="47">
        <v>64.207747999999995</v>
      </c>
      <c r="H331" s="55">
        <f t="shared" si="11"/>
        <v>5.8614494110061067E-4</v>
      </c>
    </row>
    <row r="332" spans="2:8">
      <c r="B332" s="54">
        <v>43662</v>
      </c>
      <c r="C332" s="46">
        <v>69.779999000000004</v>
      </c>
      <c r="D332" s="55">
        <f t="shared" si="10"/>
        <v>7.2170901734568442E-3</v>
      </c>
      <c r="F332" s="60">
        <v>43662</v>
      </c>
      <c r="G332" s="47">
        <v>64.010222999999996</v>
      </c>
      <c r="H332" s="55">
        <f t="shared" si="11"/>
        <v>-3.0763421261869963E-3</v>
      </c>
    </row>
    <row r="333" spans="2:8">
      <c r="B333" s="54">
        <v>43663</v>
      </c>
      <c r="C333" s="46">
        <v>70.050003000000004</v>
      </c>
      <c r="D333" s="55">
        <f t="shared" si="10"/>
        <v>3.869360903831485E-3</v>
      </c>
      <c r="F333" s="60">
        <v>43663</v>
      </c>
      <c r="G333" s="47">
        <v>63.558708000000003</v>
      </c>
      <c r="H333" s="55">
        <f t="shared" si="11"/>
        <v>-7.0537951414416022E-3</v>
      </c>
    </row>
    <row r="334" spans="2:8">
      <c r="B334" s="54">
        <v>43664</v>
      </c>
      <c r="C334" s="46">
        <v>70.75</v>
      </c>
      <c r="D334" s="55">
        <f t="shared" si="10"/>
        <v>9.9928189867457412E-3</v>
      </c>
      <c r="F334" s="60">
        <v>43664</v>
      </c>
      <c r="G334" s="47">
        <v>63.822097999999997</v>
      </c>
      <c r="H334" s="55">
        <f t="shared" si="11"/>
        <v>4.1440427014343027E-3</v>
      </c>
    </row>
    <row r="335" spans="2:8">
      <c r="B335" s="54">
        <v>43665</v>
      </c>
      <c r="C335" s="46">
        <v>70.989998</v>
      </c>
      <c r="D335" s="55">
        <f t="shared" si="10"/>
        <v>3.3921978798586564E-3</v>
      </c>
      <c r="F335" s="60">
        <v>43665</v>
      </c>
      <c r="G335" s="47">
        <v>63.455238000000001</v>
      </c>
      <c r="H335" s="55">
        <f t="shared" si="11"/>
        <v>-5.7481657842084026E-3</v>
      </c>
    </row>
    <row r="336" spans="2:8">
      <c r="B336" s="54">
        <v>43668</v>
      </c>
      <c r="C336" s="46">
        <v>71.360000999999997</v>
      </c>
      <c r="D336" s="55">
        <f t="shared" si="10"/>
        <v>5.2120440966908739E-3</v>
      </c>
      <c r="F336" s="60">
        <v>43668</v>
      </c>
      <c r="G336" s="47">
        <v>63.615135000000002</v>
      </c>
      <c r="H336" s="55">
        <f t="shared" si="11"/>
        <v>2.5198392605508915E-3</v>
      </c>
    </row>
    <row r="337" spans="2:8">
      <c r="B337" s="54">
        <v>43669</v>
      </c>
      <c r="C337" s="46">
        <v>71.569999999999993</v>
      </c>
      <c r="D337" s="55">
        <f t="shared" si="10"/>
        <v>2.9428110574157124E-3</v>
      </c>
      <c r="F337" s="60">
        <v>43669</v>
      </c>
      <c r="G337" s="47">
        <v>64.047836000000004</v>
      </c>
      <c r="H337" s="55">
        <f t="shared" si="11"/>
        <v>6.8018561934986314E-3</v>
      </c>
    </row>
    <row r="338" spans="2:8">
      <c r="B338" s="54">
        <v>43670</v>
      </c>
      <c r="C338" s="46">
        <v>71.809997999999993</v>
      </c>
      <c r="D338" s="55">
        <f t="shared" si="10"/>
        <v>3.3533324018443474E-3</v>
      </c>
      <c r="F338" s="60">
        <v>43670</v>
      </c>
      <c r="G338" s="47">
        <v>64.433509999999998</v>
      </c>
      <c r="H338" s="55">
        <f t="shared" si="11"/>
        <v>6.0216554389127914E-3</v>
      </c>
    </row>
    <row r="339" spans="2:8">
      <c r="B339" s="54">
        <v>43671</v>
      </c>
      <c r="C339" s="46">
        <v>71.760002</v>
      </c>
      <c r="D339" s="55">
        <f t="shared" si="10"/>
        <v>-6.9622617173715909E-4</v>
      </c>
      <c r="F339" s="60">
        <v>43671</v>
      </c>
      <c r="G339" s="47">
        <v>64.085480000000004</v>
      </c>
      <c r="H339" s="55">
        <f t="shared" si="11"/>
        <v>-5.4013819827601244E-3</v>
      </c>
    </row>
    <row r="340" spans="2:8">
      <c r="B340" s="54">
        <v>43672</v>
      </c>
      <c r="C340" s="46">
        <v>73.099997999999999</v>
      </c>
      <c r="D340" s="55">
        <f t="shared" si="10"/>
        <v>1.8673299368079717E-2</v>
      </c>
      <c r="F340" s="60">
        <v>43672</v>
      </c>
      <c r="G340" s="47">
        <v>64.499336</v>
      </c>
      <c r="H340" s="55">
        <f t="shared" si="11"/>
        <v>6.4578747011022706E-3</v>
      </c>
    </row>
    <row r="341" spans="2:8">
      <c r="B341" s="54">
        <v>43675</v>
      </c>
      <c r="C341" s="46">
        <v>71.760002</v>
      </c>
      <c r="D341" s="55">
        <f t="shared" si="10"/>
        <v>-1.8330999133543059E-2</v>
      </c>
      <c r="F341" s="60">
        <v>43675</v>
      </c>
      <c r="G341" s="47">
        <v>64.395865999999998</v>
      </c>
      <c r="H341" s="55">
        <f t="shared" si="11"/>
        <v>-1.6042025610930554E-3</v>
      </c>
    </row>
    <row r="342" spans="2:8">
      <c r="B342" s="54">
        <v>43676</v>
      </c>
      <c r="C342" s="46">
        <v>72.889999000000003</v>
      </c>
      <c r="D342" s="55">
        <f t="shared" si="10"/>
        <v>1.574689198029848E-2</v>
      </c>
      <c r="F342" s="60">
        <v>43676</v>
      </c>
      <c r="G342" s="47">
        <v>64.311233999999999</v>
      </c>
      <c r="H342" s="55">
        <f t="shared" si="11"/>
        <v>-1.3142458554715167E-3</v>
      </c>
    </row>
    <row r="343" spans="2:8">
      <c r="B343" s="54">
        <v>43677</v>
      </c>
      <c r="C343" s="46">
        <v>77.809997999999993</v>
      </c>
      <c r="D343" s="55">
        <f t="shared" si="10"/>
        <v>6.7498958259006009E-2</v>
      </c>
      <c r="F343" s="60">
        <v>43677</v>
      </c>
      <c r="G343" s="47">
        <v>63.474052</v>
      </c>
      <c r="H343" s="55">
        <f t="shared" si="11"/>
        <v>-1.3017663445860774E-2</v>
      </c>
    </row>
    <row r="344" spans="2:8">
      <c r="B344" s="54">
        <v>43678</v>
      </c>
      <c r="C344" s="46">
        <v>75.980002999999996</v>
      </c>
      <c r="D344" s="55">
        <f t="shared" si="10"/>
        <v>-2.3518764259574932E-2</v>
      </c>
      <c r="F344" s="60">
        <v>43678</v>
      </c>
      <c r="G344" s="47">
        <v>63.050773999999997</v>
      </c>
      <c r="H344" s="55">
        <f t="shared" si="11"/>
        <v>-6.6685202324881258E-3</v>
      </c>
    </row>
    <row r="345" spans="2:8">
      <c r="B345" s="54">
        <v>43679</v>
      </c>
      <c r="C345" s="46">
        <v>76.029999000000004</v>
      </c>
      <c r="D345" s="55">
        <f t="shared" si="10"/>
        <v>6.580152411945451E-4</v>
      </c>
      <c r="F345" s="60">
        <v>43679</v>
      </c>
      <c r="G345" s="47">
        <v>62.524028999999999</v>
      </c>
      <c r="H345" s="55">
        <f t="shared" si="11"/>
        <v>-8.3542987117017509E-3</v>
      </c>
    </row>
    <row r="346" spans="2:8">
      <c r="B346" s="54">
        <v>43682</v>
      </c>
      <c r="C346" s="46">
        <v>73.220000999999996</v>
      </c>
      <c r="D346" s="55">
        <f t="shared" si="10"/>
        <v>-3.6959069274747819E-2</v>
      </c>
      <c r="F346" s="60">
        <v>43682</v>
      </c>
      <c r="G346" s="47">
        <v>60.605110000000003</v>
      </c>
      <c r="H346" s="55">
        <f t="shared" si="11"/>
        <v>-3.0690904452110649E-2</v>
      </c>
    </row>
    <row r="347" spans="2:8">
      <c r="B347" s="54">
        <v>43683</v>
      </c>
      <c r="C347" s="46">
        <v>74.529999000000004</v>
      </c>
      <c r="D347" s="55">
        <f t="shared" si="10"/>
        <v>1.7891258974443436E-2</v>
      </c>
      <c r="F347" s="60">
        <v>43683</v>
      </c>
      <c r="G347" s="47">
        <v>61.461101999999997</v>
      </c>
      <c r="H347" s="55">
        <f t="shared" si="11"/>
        <v>1.4124089536344269E-2</v>
      </c>
    </row>
    <row r="348" spans="2:8">
      <c r="B348" s="54">
        <v>43684</v>
      </c>
      <c r="C348" s="46">
        <v>76.129997000000003</v>
      </c>
      <c r="D348" s="55">
        <f t="shared" si="10"/>
        <v>2.146783874235661E-2</v>
      </c>
      <c r="F348" s="60">
        <v>43684</v>
      </c>
      <c r="G348" s="47">
        <v>61.508128999999997</v>
      </c>
      <c r="H348" s="55">
        <f t="shared" si="11"/>
        <v>7.6515061509961103E-4</v>
      </c>
    </row>
    <row r="349" spans="2:8">
      <c r="B349" s="54">
        <v>43685</v>
      </c>
      <c r="C349" s="46">
        <v>78.069999999999993</v>
      </c>
      <c r="D349" s="55">
        <f t="shared" si="10"/>
        <v>2.5482767324948009E-2</v>
      </c>
      <c r="F349" s="60">
        <v>43685</v>
      </c>
      <c r="G349" s="47">
        <v>62.674518999999997</v>
      </c>
      <c r="H349" s="55">
        <f t="shared" si="11"/>
        <v>1.8963184524764195E-2</v>
      </c>
    </row>
    <row r="350" spans="2:8">
      <c r="B350" s="54">
        <v>43686</v>
      </c>
      <c r="C350" s="46">
        <v>76.980002999999996</v>
      </c>
      <c r="D350" s="55">
        <f t="shared" si="10"/>
        <v>-1.3961790700653219E-2</v>
      </c>
      <c r="F350" s="60">
        <v>43686</v>
      </c>
      <c r="G350" s="47">
        <v>62.260638999999998</v>
      </c>
      <c r="H350" s="55">
        <f t="shared" si="11"/>
        <v>-6.6036406278602465E-3</v>
      </c>
    </row>
    <row r="351" spans="2:8">
      <c r="B351" s="54">
        <v>43689</v>
      </c>
      <c r="C351" s="46">
        <v>75.319999999999993</v>
      </c>
      <c r="D351" s="55">
        <f t="shared" si="10"/>
        <v>-2.1564080739253845E-2</v>
      </c>
      <c r="F351" s="60">
        <v>43689</v>
      </c>
      <c r="G351" s="47">
        <v>61.498725999999998</v>
      </c>
      <c r="H351" s="55">
        <f t="shared" si="11"/>
        <v>-1.2237474787240778E-2</v>
      </c>
    </row>
    <row r="352" spans="2:8">
      <c r="B352" s="54">
        <v>43690</v>
      </c>
      <c r="C352" s="46">
        <v>76.459998999999996</v>
      </c>
      <c r="D352" s="55">
        <f t="shared" si="10"/>
        <v>1.5135408921933128E-2</v>
      </c>
      <c r="F352" s="60">
        <v>43690</v>
      </c>
      <c r="G352" s="47">
        <v>62.382930999999999</v>
      </c>
      <c r="H352" s="55">
        <f t="shared" si="11"/>
        <v>1.4377614911892671E-2</v>
      </c>
    </row>
    <row r="353" spans="2:8">
      <c r="B353" s="54">
        <v>43691</v>
      </c>
      <c r="C353" s="46">
        <v>74.720000999999996</v>
      </c>
      <c r="D353" s="55">
        <f t="shared" si="10"/>
        <v>-2.2756971262842943E-2</v>
      </c>
      <c r="F353" s="60">
        <v>43691</v>
      </c>
      <c r="G353" s="47">
        <v>60.548679</v>
      </c>
      <c r="H353" s="55">
        <f t="shared" si="11"/>
        <v>-2.9403107077479243E-2</v>
      </c>
    </row>
    <row r="354" spans="2:8">
      <c r="B354" s="54">
        <v>43692</v>
      </c>
      <c r="C354" s="46">
        <v>75.169998000000007</v>
      </c>
      <c r="D354" s="55">
        <f t="shared" si="10"/>
        <v>6.022443709549876E-3</v>
      </c>
      <c r="F354" s="60">
        <v>43692</v>
      </c>
      <c r="G354" s="47">
        <v>60.623939999999997</v>
      </c>
      <c r="H354" s="55">
        <f t="shared" si="11"/>
        <v>1.2429833522874642E-3</v>
      </c>
    </row>
    <row r="355" spans="2:8">
      <c r="B355" s="54">
        <v>43693</v>
      </c>
      <c r="C355" s="46">
        <v>76.389999000000003</v>
      </c>
      <c r="D355" s="55">
        <f t="shared" si="10"/>
        <v>1.6229892676064676E-2</v>
      </c>
      <c r="F355" s="60">
        <v>43693</v>
      </c>
      <c r="G355" s="47">
        <v>61.611603000000002</v>
      </c>
      <c r="H355" s="55">
        <f t="shared" si="11"/>
        <v>1.6291633305258697E-2</v>
      </c>
    </row>
    <row r="356" spans="2:8">
      <c r="B356" s="54">
        <v>43696</v>
      </c>
      <c r="C356" s="46">
        <v>76.949996999999996</v>
      </c>
      <c r="D356" s="55">
        <f t="shared" si="10"/>
        <v>7.3307763755827921E-3</v>
      </c>
      <c r="F356" s="60">
        <v>43696</v>
      </c>
      <c r="G356" s="47">
        <v>62.260638999999998</v>
      </c>
      <c r="H356" s="55">
        <f t="shared" si="11"/>
        <v>1.0534314453723843E-2</v>
      </c>
    </row>
    <row r="357" spans="2:8">
      <c r="B357" s="54">
        <v>43697</v>
      </c>
      <c r="C357" s="46">
        <v>75.529999000000004</v>
      </c>
      <c r="D357" s="55">
        <f t="shared" si="10"/>
        <v>-1.8453515989090844E-2</v>
      </c>
      <c r="F357" s="60">
        <v>43697</v>
      </c>
      <c r="G357" s="47">
        <v>61.809134999999998</v>
      </c>
      <c r="H357" s="55">
        <f t="shared" si="11"/>
        <v>-7.251836910957498E-3</v>
      </c>
    </row>
    <row r="358" spans="2:8">
      <c r="B358" s="54">
        <v>43698</v>
      </c>
      <c r="C358" s="46">
        <v>75.410004000000001</v>
      </c>
      <c r="D358" s="55">
        <f t="shared" si="10"/>
        <v>-1.5887064952827942E-3</v>
      </c>
      <c r="F358" s="60">
        <v>43698</v>
      </c>
      <c r="G358" s="47">
        <v>62.364113000000003</v>
      </c>
      <c r="H358" s="55">
        <f t="shared" si="11"/>
        <v>8.9788993164199044E-3</v>
      </c>
    </row>
    <row r="359" spans="2:8">
      <c r="B359" s="54">
        <v>43699</v>
      </c>
      <c r="C359" s="46">
        <v>75.099997999999999</v>
      </c>
      <c r="D359" s="55">
        <f t="shared" si="10"/>
        <v>-4.110939975550211E-3</v>
      </c>
      <c r="F359" s="60">
        <v>43699</v>
      </c>
      <c r="G359" s="47">
        <v>62.335903000000002</v>
      </c>
      <c r="H359" s="55">
        <f t="shared" si="11"/>
        <v>-4.523434815789234E-4</v>
      </c>
    </row>
    <row r="360" spans="2:8">
      <c r="B360" s="54">
        <v>43700</v>
      </c>
      <c r="C360" s="46">
        <v>71.629997000000003</v>
      </c>
      <c r="D360" s="55">
        <f t="shared" si="10"/>
        <v>-4.6205074466180364E-2</v>
      </c>
      <c r="F360" s="60">
        <v>43700</v>
      </c>
      <c r="G360" s="47">
        <v>60.736812999999998</v>
      </c>
      <c r="H360" s="55">
        <f t="shared" si="11"/>
        <v>-2.5652792741287535E-2</v>
      </c>
    </row>
    <row r="361" spans="2:8">
      <c r="B361" s="54">
        <v>43703</v>
      </c>
      <c r="C361" s="46">
        <v>72.720000999999996</v>
      </c>
      <c r="D361" s="55">
        <f t="shared" si="10"/>
        <v>1.5217144292215917E-2</v>
      </c>
      <c r="F361" s="60">
        <v>43703</v>
      </c>
      <c r="G361" s="47">
        <v>61.338813999999999</v>
      </c>
      <c r="H361" s="55">
        <f t="shared" si="11"/>
        <v>9.9116329992487654E-3</v>
      </c>
    </row>
    <row r="362" spans="2:8">
      <c r="B362" s="54">
        <v>43704</v>
      </c>
      <c r="C362" s="46">
        <v>72.480002999999996</v>
      </c>
      <c r="D362" s="55">
        <f t="shared" si="10"/>
        <v>-3.3003024848693272E-3</v>
      </c>
      <c r="F362" s="60">
        <v>43704</v>
      </c>
      <c r="G362" s="47">
        <v>61.084842999999999</v>
      </c>
      <c r="H362" s="55">
        <f t="shared" si="11"/>
        <v>-4.14046153549692E-3</v>
      </c>
    </row>
    <row r="363" spans="2:8">
      <c r="B363" s="54">
        <v>43705</v>
      </c>
      <c r="C363" s="46">
        <v>74.160004000000001</v>
      </c>
      <c r="D363" s="55">
        <f t="shared" si="10"/>
        <v>2.3178820784541143E-2</v>
      </c>
      <c r="F363" s="60">
        <v>43705</v>
      </c>
      <c r="G363" s="47">
        <v>61.508128999999997</v>
      </c>
      <c r="H363" s="55">
        <f t="shared" si="11"/>
        <v>6.9294767607080109E-3</v>
      </c>
    </row>
    <row r="364" spans="2:8">
      <c r="B364" s="54">
        <v>43706</v>
      </c>
      <c r="C364" s="46">
        <v>73.75</v>
      </c>
      <c r="D364" s="55">
        <f t="shared" si="10"/>
        <v>-5.5286404784983655E-3</v>
      </c>
      <c r="F364" s="60">
        <v>43706</v>
      </c>
      <c r="G364" s="47">
        <v>62.288863999999997</v>
      </c>
      <c r="H364" s="55">
        <f t="shared" si="11"/>
        <v>1.2693200276015549E-2</v>
      </c>
    </row>
    <row r="365" spans="2:8">
      <c r="B365" s="54">
        <v>43707</v>
      </c>
      <c r="C365" s="46">
        <v>73.550003000000004</v>
      </c>
      <c r="D365" s="55">
        <f t="shared" si="10"/>
        <v>-2.7118237288135077E-3</v>
      </c>
      <c r="F365" s="60">
        <v>43707</v>
      </c>
      <c r="G365" s="47">
        <v>62.279449</v>
      </c>
      <c r="H365" s="55">
        <f t="shared" si="11"/>
        <v>-1.5115061337443985E-4</v>
      </c>
    </row>
    <row r="366" spans="2:8">
      <c r="B366" s="54">
        <v>43711</v>
      </c>
      <c r="C366" s="46">
        <v>72.989998</v>
      </c>
      <c r="D366" s="55">
        <f t="shared" si="10"/>
        <v>-7.6139357873310195E-3</v>
      </c>
      <c r="F366" s="60">
        <v>43711</v>
      </c>
      <c r="G366" s="47">
        <v>61.846752000000002</v>
      </c>
      <c r="H366" s="55">
        <f t="shared" si="11"/>
        <v>-6.9476690456910985E-3</v>
      </c>
    </row>
    <row r="367" spans="2:8">
      <c r="B367" s="54">
        <v>43712</v>
      </c>
      <c r="C367" s="46">
        <v>73.900002000000001</v>
      </c>
      <c r="D367" s="55">
        <f t="shared" si="10"/>
        <v>1.246751643971823E-2</v>
      </c>
      <c r="F367" s="60">
        <v>43712</v>
      </c>
      <c r="G367" s="47">
        <v>62.552235000000003</v>
      </c>
      <c r="H367" s="55">
        <f t="shared" si="11"/>
        <v>1.1406953108871441E-2</v>
      </c>
    </row>
    <row r="368" spans="2:8">
      <c r="B368" s="54">
        <v>43713</v>
      </c>
      <c r="C368" s="46">
        <v>74.519997000000004</v>
      </c>
      <c r="D368" s="55">
        <f t="shared" si="10"/>
        <v>8.389647946153005E-3</v>
      </c>
      <c r="F368" s="60">
        <v>43713</v>
      </c>
      <c r="G368" s="47">
        <v>63.408211000000001</v>
      </c>
      <c r="H368" s="55">
        <f t="shared" si="11"/>
        <v>1.3684179310299596E-2</v>
      </c>
    </row>
    <row r="369" spans="2:8">
      <c r="B369" s="54">
        <v>43714</v>
      </c>
      <c r="C369" s="46">
        <v>74.25</v>
      </c>
      <c r="D369" s="55">
        <f t="shared" si="10"/>
        <v>-3.6231482940076282E-3</v>
      </c>
      <c r="F369" s="60">
        <v>43714</v>
      </c>
      <c r="G369" s="47">
        <v>63.398811000000002</v>
      </c>
      <c r="H369" s="55">
        <f t="shared" si="11"/>
        <v>-1.4824578476121031E-4</v>
      </c>
    </row>
    <row r="370" spans="2:8">
      <c r="B370" s="54">
        <v>43717</v>
      </c>
      <c r="C370" s="46">
        <v>76.190002000000007</v>
      </c>
      <c r="D370" s="55">
        <f t="shared" si="10"/>
        <v>2.6127973063973155E-2</v>
      </c>
      <c r="F370" s="60">
        <v>43717</v>
      </c>
      <c r="G370" s="47">
        <v>63.445838999999999</v>
      </c>
      <c r="H370" s="55">
        <f t="shared" si="11"/>
        <v>7.4178047282302188E-4</v>
      </c>
    </row>
    <row r="371" spans="2:8">
      <c r="B371" s="54">
        <v>43718</v>
      </c>
      <c r="C371" s="46">
        <v>75.019997000000004</v>
      </c>
      <c r="D371" s="55">
        <f t="shared" si="10"/>
        <v>-1.5356411199464244E-2</v>
      </c>
      <c r="F371" s="60">
        <v>43718</v>
      </c>
      <c r="G371" s="47">
        <v>63.539898000000001</v>
      </c>
      <c r="H371" s="55">
        <f t="shared" si="11"/>
        <v>1.4825085692381096E-3</v>
      </c>
    </row>
    <row r="372" spans="2:8">
      <c r="B372" s="54">
        <v>43719</v>
      </c>
      <c r="C372" s="46">
        <v>75.889999000000003</v>
      </c>
      <c r="D372" s="55">
        <f t="shared" si="10"/>
        <v>1.1596934614646805E-2</v>
      </c>
      <c r="F372" s="60">
        <v>43719</v>
      </c>
      <c r="G372" s="47">
        <v>64.010222999999996</v>
      </c>
      <c r="H372" s="55">
        <f t="shared" si="11"/>
        <v>7.4020420995953668E-3</v>
      </c>
    </row>
    <row r="373" spans="2:8">
      <c r="B373" s="54">
        <v>43720</v>
      </c>
      <c r="C373" s="46">
        <v>77.699996999999996</v>
      </c>
      <c r="D373" s="55">
        <f t="shared" si="10"/>
        <v>2.3850283619057538E-2</v>
      </c>
      <c r="F373" s="60">
        <v>43720</v>
      </c>
      <c r="G373" s="47">
        <v>64.226569999999995</v>
      </c>
      <c r="H373" s="55">
        <f t="shared" si="11"/>
        <v>3.3798819916624721E-3</v>
      </c>
    </row>
    <row r="374" spans="2:8">
      <c r="B374" s="54">
        <v>43721</v>
      </c>
      <c r="C374" s="46">
        <v>77.160004000000001</v>
      </c>
      <c r="D374" s="55">
        <f t="shared" si="10"/>
        <v>-6.949717128045649E-3</v>
      </c>
      <c r="F374" s="60">
        <v>43721</v>
      </c>
      <c r="G374" s="47">
        <v>64.132507000000004</v>
      </c>
      <c r="H374" s="55">
        <f t="shared" si="11"/>
        <v>-1.4645496404368371E-3</v>
      </c>
    </row>
    <row r="375" spans="2:8">
      <c r="B375" s="54">
        <v>43724</v>
      </c>
      <c r="C375" s="46">
        <v>77.860000999999997</v>
      </c>
      <c r="D375" s="55">
        <f t="shared" si="10"/>
        <v>9.0720187106262482E-3</v>
      </c>
      <c r="F375" s="60">
        <v>43724</v>
      </c>
      <c r="G375" s="47">
        <v>64.066665999999998</v>
      </c>
      <c r="H375" s="55">
        <f t="shared" si="11"/>
        <v>-1.0266400469890571E-3</v>
      </c>
    </row>
    <row r="376" spans="2:8">
      <c r="B376" s="54">
        <v>43725</v>
      </c>
      <c r="C376" s="46">
        <v>76.029999000000004</v>
      </c>
      <c r="D376" s="55">
        <f t="shared" si="10"/>
        <v>-2.3503750019217097E-2</v>
      </c>
      <c r="F376" s="60">
        <v>43725</v>
      </c>
      <c r="G376" s="47">
        <v>64.170135000000002</v>
      </c>
      <c r="H376" s="55">
        <f t="shared" si="11"/>
        <v>1.6150208284602173E-3</v>
      </c>
    </row>
    <row r="377" spans="2:8">
      <c r="B377" s="54">
        <v>43726</v>
      </c>
      <c r="C377" s="46">
        <v>75.889999000000003</v>
      </c>
      <c r="D377" s="55">
        <f t="shared" si="10"/>
        <v>-1.841378427480981E-3</v>
      </c>
      <c r="F377" s="60">
        <v>43726</v>
      </c>
      <c r="G377" s="47">
        <v>64.198348999999993</v>
      </c>
      <c r="H377" s="55">
        <f t="shared" si="11"/>
        <v>4.3967493601176466E-4</v>
      </c>
    </row>
    <row r="378" spans="2:8">
      <c r="B378" s="54">
        <v>43727</v>
      </c>
      <c r="C378" s="46">
        <v>75.239998</v>
      </c>
      <c r="D378" s="55">
        <f t="shared" si="10"/>
        <v>-8.5650416203062948E-3</v>
      </c>
      <c r="F378" s="60">
        <v>43727</v>
      </c>
      <c r="G378" s="47">
        <v>64.170135000000002</v>
      </c>
      <c r="H378" s="55">
        <f t="shared" si="11"/>
        <v>-4.3948170692039611E-4</v>
      </c>
    </row>
    <row r="379" spans="2:8">
      <c r="B379" s="54">
        <v>43728</v>
      </c>
      <c r="C379" s="46">
        <v>76.75</v>
      </c>
      <c r="D379" s="55">
        <f t="shared" si="10"/>
        <v>2.0069139289450807E-2</v>
      </c>
      <c r="F379" s="60">
        <v>43728</v>
      </c>
      <c r="G379" s="47">
        <v>63.831505</v>
      </c>
      <c r="H379" s="55">
        <f t="shared" si="11"/>
        <v>-5.2770654136850732E-3</v>
      </c>
    </row>
    <row r="380" spans="2:8">
      <c r="B380" s="54">
        <v>43731</v>
      </c>
      <c r="C380" s="46">
        <v>76.900002000000001</v>
      </c>
      <c r="D380" s="55">
        <f t="shared" si="10"/>
        <v>1.9544234527687377E-3</v>
      </c>
      <c r="F380" s="60">
        <v>43731</v>
      </c>
      <c r="G380" s="47">
        <v>63.859718000000001</v>
      </c>
      <c r="H380" s="55">
        <f t="shared" si="11"/>
        <v>4.4199177193144566E-4</v>
      </c>
    </row>
    <row r="381" spans="2:8">
      <c r="B381" s="54">
        <v>43732</v>
      </c>
      <c r="C381" s="46">
        <v>76.220000999999996</v>
      </c>
      <c r="D381" s="55">
        <f t="shared" si="10"/>
        <v>-8.8426655697616801E-3</v>
      </c>
      <c r="F381" s="60">
        <v>43732</v>
      </c>
      <c r="G381" s="47">
        <v>63.247272000000002</v>
      </c>
      <c r="H381" s="55">
        <f t="shared" si="11"/>
        <v>-9.5904902054218047E-3</v>
      </c>
    </row>
    <row r="382" spans="2:8">
      <c r="B382" s="54">
        <v>43733</v>
      </c>
      <c r="C382" s="46">
        <v>77.529999000000004</v>
      </c>
      <c r="D382" s="55">
        <f t="shared" si="10"/>
        <v>1.7187063537299183E-2</v>
      </c>
      <c r="F382" s="60">
        <v>43733</v>
      </c>
      <c r="G382" s="47">
        <v>63.710391999999999</v>
      </c>
      <c r="H382" s="55">
        <f t="shared" si="11"/>
        <v>7.3223711530197924E-3</v>
      </c>
    </row>
    <row r="383" spans="2:8">
      <c r="B383" s="54">
        <v>43734</v>
      </c>
      <c r="C383" s="46">
        <v>77.099997999999999</v>
      </c>
      <c r="D383" s="55">
        <f t="shared" si="10"/>
        <v>-5.5462531348672434E-3</v>
      </c>
      <c r="F383" s="60">
        <v>43734</v>
      </c>
      <c r="G383" s="47">
        <v>63.540275999999999</v>
      </c>
      <c r="H383" s="55">
        <f t="shared" si="11"/>
        <v>-2.6701452409836086E-3</v>
      </c>
    </row>
    <row r="384" spans="2:8">
      <c r="B384" s="54">
        <v>43735</v>
      </c>
      <c r="C384" s="46">
        <v>76.209998999999996</v>
      </c>
      <c r="D384" s="55">
        <f t="shared" si="10"/>
        <v>-1.1543437394122931E-2</v>
      </c>
      <c r="F384" s="60">
        <v>43735</v>
      </c>
      <c r="G384" s="47">
        <v>63.086613</v>
      </c>
      <c r="H384" s="55">
        <f t="shared" si="11"/>
        <v>-7.1397706865484632E-3</v>
      </c>
    </row>
    <row r="385" spans="2:8">
      <c r="B385" s="54">
        <v>43738</v>
      </c>
      <c r="C385" s="46">
        <v>77.199996999999996</v>
      </c>
      <c r="D385" s="55">
        <f t="shared" si="10"/>
        <v>1.2990395131746426E-2</v>
      </c>
      <c r="F385" s="60">
        <v>43738</v>
      </c>
      <c r="G385" s="47">
        <v>63.389042000000003</v>
      </c>
      <c r="H385" s="55">
        <f t="shared" si="11"/>
        <v>4.7938696597961857E-3</v>
      </c>
    </row>
    <row r="386" spans="2:8">
      <c r="B386" s="54">
        <v>43739</v>
      </c>
      <c r="C386" s="46">
        <v>74.779999000000004</v>
      </c>
      <c r="D386" s="55">
        <f t="shared" si="10"/>
        <v>-3.1347125570484059E-2</v>
      </c>
      <c r="F386" s="60">
        <v>43739</v>
      </c>
      <c r="G386" s="47">
        <v>62.585709000000001</v>
      </c>
      <c r="H386" s="55">
        <f t="shared" si="11"/>
        <v>-1.2673057908021422E-2</v>
      </c>
    </row>
    <row r="387" spans="2:8">
      <c r="B387" s="54">
        <v>43740</v>
      </c>
      <c r="C387" s="46">
        <v>74.800003000000004</v>
      </c>
      <c r="D387" s="55">
        <f t="shared" si="10"/>
        <v>2.6750468397305181E-4</v>
      </c>
      <c r="F387" s="60">
        <v>43740</v>
      </c>
      <c r="G387" s="47">
        <v>61.546078000000001</v>
      </c>
      <c r="H387" s="55">
        <f t="shared" si="11"/>
        <v>-1.661131617123647E-2</v>
      </c>
    </row>
    <row r="388" spans="2:8">
      <c r="B388" s="54">
        <v>43741</v>
      </c>
      <c r="C388" s="46">
        <v>74.040001000000004</v>
      </c>
      <c r="D388" s="55">
        <f t="shared" si="10"/>
        <v>-1.0160454137949701E-2</v>
      </c>
      <c r="F388" s="60">
        <v>43741</v>
      </c>
      <c r="G388" s="47">
        <v>62.028072000000002</v>
      </c>
      <c r="H388" s="55">
        <f t="shared" si="11"/>
        <v>7.8314332230885655E-3</v>
      </c>
    </row>
    <row r="389" spans="2:8">
      <c r="B389" s="54">
        <v>43742</v>
      </c>
      <c r="C389" s="46">
        <v>74.160004000000001</v>
      </c>
      <c r="D389" s="55">
        <f t="shared" si="10"/>
        <v>1.6207860396976084E-3</v>
      </c>
      <c r="F389" s="60">
        <v>43742</v>
      </c>
      <c r="G389" s="47">
        <v>62.897587000000001</v>
      </c>
      <c r="H389" s="55">
        <f t="shared" si="11"/>
        <v>1.4018088455175583E-2</v>
      </c>
    </row>
    <row r="390" spans="2:8">
      <c r="B390" s="54">
        <v>43745</v>
      </c>
      <c r="C390" s="46">
        <v>73.160004000000001</v>
      </c>
      <c r="D390" s="55">
        <f t="shared" ref="D390:D453" si="12">(C390-C389)/C389</f>
        <v>-1.3484357417240701E-2</v>
      </c>
      <c r="F390" s="60">
        <v>43745</v>
      </c>
      <c r="G390" s="47">
        <v>62.651854999999998</v>
      </c>
      <c r="H390" s="55">
        <f t="shared" ref="H390:H453" si="13">(G390-G389)/G389</f>
        <v>-3.9068589388016398E-3</v>
      </c>
    </row>
    <row r="391" spans="2:8">
      <c r="B391" s="54">
        <v>43746</v>
      </c>
      <c r="C391" s="46">
        <v>72.129997000000003</v>
      </c>
      <c r="D391" s="55">
        <f t="shared" si="12"/>
        <v>-1.4078826458237997E-2</v>
      </c>
      <c r="F391" s="60">
        <v>43746</v>
      </c>
      <c r="G391" s="47">
        <v>61.650036</v>
      </c>
      <c r="H391" s="55">
        <f t="shared" si="13"/>
        <v>-1.5990252802570611E-2</v>
      </c>
    </row>
    <row r="392" spans="2:8">
      <c r="B392" s="54">
        <v>43747</v>
      </c>
      <c r="C392" s="46">
        <v>72.980002999999996</v>
      </c>
      <c r="D392" s="55">
        <f t="shared" si="12"/>
        <v>1.178436205951864E-2</v>
      </c>
      <c r="F392" s="60">
        <v>43747</v>
      </c>
      <c r="G392" s="47">
        <v>62.179302</v>
      </c>
      <c r="H392" s="55">
        <f t="shared" si="13"/>
        <v>8.5850071523072558E-3</v>
      </c>
    </row>
    <row r="393" spans="2:8">
      <c r="B393" s="54">
        <v>43748</v>
      </c>
      <c r="C393" s="46">
        <v>75.169998000000007</v>
      </c>
      <c r="D393" s="55">
        <f t="shared" si="12"/>
        <v>3.0008151685058309E-2</v>
      </c>
      <c r="F393" s="60">
        <v>43748</v>
      </c>
      <c r="G393" s="47">
        <v>62.547893999999999</v>
      </c>
      <c r="H393" s="55">
        <f t="shared" si="13"/>
        <v>5.9278889943151754E-3</v>
      </c>
    </row>
    <row r="394" spans="2:8">
      <c r="B394" s="54">
        <v>43749</v>
      </c>
      <c r="C394" s="46">
        <v>76.580001999999993</v>
      </c>
      <c r="D394" s="55">
        <f t="shared" si="12"/>
        <v>1.8757536750233603E-2</v>
      </c>
      <c r="F394" s="60">
        <v>43749</v>
      </c>
      <c r="G394" s="47">
        <v>63.294533000000001</v>
      </c>
      <c r="H394" s="55">
        <f t="shared" si="13"/>
        <v>1.1937076570475767E-2</v>
      </c>
    </row>
    <row r="395" spans="2:8">
      <c r="B395" s="54">
        <v>43752</v>
      </c>
      <c r="C395" s="46">
        <v>75.010002</v>
      </c>
      <c r="D395" s="55">
        <f t="shared" si="12"/>
        <v>-2.0501435870947004E-2</v>
      </c>
      <c r="F395" s="60">
        <v>43752</v>
      </c>
      <c r="G395" s="47">
        <v>63.181125999999999</v>
      </c>
      <c r="H395" s="55">
        <f t="shared" si="13"/>
        <v>-1.7917345246863936E-3</v>
      </c>
    </row>
    <row r="396" spans="2:8">
      <c r="B396" s="54">
        <v>43753</v>
      </c>
      <c r="C396" s="46">
        <v>74.709998999999996</v>
      </c>
      <c r="D396" s="55">
        <f t="shared" si="12"/>
        <v>-3.9995066257964345E-3</v>
      </c>
      <c r="F396" s="60">
        <v>43753</v>
      </c>
      <c r="G396" s="47">
        <v>63.804901000000001</v>
      </c>
      <c r="H396" s="55">
        <f t="shared" si="13"/>
        <v>9.8728060022229107E-3</v>
      </c>
    </row>
    <row r="397" spans="2:8">
      <c r="B397" s="54">
        <v>43754</v>
      </c>
      <c r="C397" s="46">
        <v>75.75</v>
      </c>
      <c r="D397" s="55">
        <f t="shared" si="12"/>
        <v>1.3920506142691875E-2</v>
      </c>
      <c r="F397" s="60">
        <v>43754</v>
      </c>
      <c r="G397" s="47">
        <v>63.672595999999999</v>
      </c>
      <c r="H397" s="55">
        <f t="shared" si="13"/>
        <v>-2.0735867923375091E-3</v>
      </c>
    </row>
    <row r="398" spans="2:8">
      <c r="B398" s="54">
        <v>43755</v>
      </c>
      <c r="C398" s="46">
        <v>76.809997999999993</v>
      </c>
      <c r="D398" s="55">
        <f t="shared" si="12"/>
        <v>1.3993372937293639E-2</v>
      </c>
      <c r="F398" s="60">
        <v>43755</v>
      </c>
      <c r="G398" s="47">
        <v>63.918301</v>
      </c>
      <c r="H398" s="55">
        <f t="shared" si="13"/>
        <v>3.8588814566316875E-3</v>
      </c>
    </row>
    <row r="399" spans="2:8">
      <c r="B399" s="54">
        <v>43756</v>
      </c>
      <c r="C399" s="46">
        <v>78.620002999999997</v>
      </c>
      <c r="D399" s="55">
        <f t="shared" si="12"/>
        <v>2.3564705730105658E-2</v>
      </c>
      <c r="F399" s="60">
        <v>43756</v>
      </c>
      <c r="G399" s="47">
        <v>63.672595999999999</v>
      </c>
      <c r="H399" s="55">
        <f t="shared" si="13"/>
        <v>-3.8440477321198033E-3</v>
      </c>
    </row>
    <row r="400" spans="2:8">
      <c r="B400" s="54">
        <v>43759</v>
      </c>
      <c r="C400" s="46">
        <v>78.470000999999996</v>
      </c>
      <c r="D400" s="55">
        <f t="shared" si="12"/>
        <v>-1.9079368389238124E-3</v>
      </c>
      <c r="F400" s="60">
        <v>43759</v>
      </c>
      <c r="G400" s="47">
        <v>64.116798000000003</v>
      </c>
      <c r="H400" s="55">
        <f t="shared" si="13"/>
        <v>6.9763450511740434E-3</v>
      </c>
    </row>
    <row r="401" spans="2:8">
      <c r="B401" s="54">
        <v>43760</v>
      </c>
      <c r="C401" s="46">
        <v>78.800003000000004</v>
      </c>
      <c r="D401" s="55">
        <f t="shared" si="12"/>
        <v>4.2054542601574259E-3</v>
      </c>
      <c r="F401" s="60">
        <v>43760</v>
      </c>
      <c r="G401" s="47">
        <v>63.889964999999997</v>
      </c>
      <c r="H401" s="55">
        <f t="shared" si="13"/>
        <v>-3.5378092337051245E-3</v>
      </c>
    </row>
    <row r="402" spans="2:8">
      <c r="B402" s="54">
        <v>43761</v>
      </c>
      <c r="C402" s="46">
        <v>76.889999000000003</v>
      </c>
      <c r="D402" s="55">
        <f t="shared" si="12"/>
        <v>-2.4238628518833946E-2</v>
      </c>
      <c r="F402" s="60">
        <v>43761</v>
      </c>
      <c r="G402" s="47">
        <v>64.060080999999997</v>
      </c>
      <c r="H402" s="55">
        <f t="shared" si="13"/>
        <v>2.6626403692661307E-3</v>
      </c>
    </row>
    <row r="403" spans="2:8">
      <c r="B403" s="54">
        <v>43762</v>
      </c>
      <c r="C403" s="46">
        <v>76.5</v>
      </c>
      <c r="D403" s="55">
        <f t="shared" si="12"/>
        <v>-5.0721680982204597E-3</v>
      </c>
      <c r="F403" s="60">
        <v>43762</v>
      </c>
      <c r="G403" s="47">
        <v>64.164046999999997</v>
      </c>
      <c r="H403" s="55">
        <f t="shared" si="13"/>
        <v>1.622945184849201E-3</v>
      </c>
    </row>
    <row r="404" spans="2:8">
      <c r="B404" s="54">
        <v>43763</v>
      </c>
      <c r="C404" s="46">
        <v>76.660004000000001</v>
      </c>
      <c r="D404" s="55">
        <f t="shared" si="12"/>
        <v>2.0915555555555648E-3</v>
      </c>
      <c r="F404" s="60">
        <v>43763</v>
      </c>
      <c r="G404" s="47">
        <v>64.457024000000004</v>
      </c>
      <c r="H404" s="55">
        <f t="shared" si="13"/>
        <v>4.5660617385933841E-3</v>
      </c>
    </row>
    <row r="405" spans="2:8">
      <c r="B405" s="54">
        <v>43766</v>
      </c>
      <c r="C405" s="46">
        <v>77.550003000000004</v>
      </c>
      <c r="D405" s="55">
        <f t="shared" si="12"/>
        <v>1.1609691541367557E-2</v>
      </c>
      <c r="F405" s="60">
        <v>43766</v>
      </c>
      <c r="G405" s="47">
        <v>64.863433999999998</v>
      </c>
      <c r="H405" s="55">
        <f t="shared" si="13"/>
        <v>6.3051313073342313E-3</v>
      </c>
    </row>
    <row r="406" spans="2:8">
      <c r="B406" s="54">
        <v>43767</v>
      </c>
      <c r="C406" s="46">
        <v>78.449996999999996</v>
      </c>
      <c r="D406" s="55">
        <f t="shared" si="12"/>
        <v>1.1605338042346593E-2</v>
      </c>
      <c r="F406" s="60">
        <v>43767</v>
      </c>
      <c r="G406" s="47">
        <v>64.844536000000005</v>
      </c>
      <c r="H406" s="55">
        <f t="shared" si="13"/>
        <v>-2.9135059361786142E-4</v>
      </c>
    </row>
    <row r="407" spans="2:8">
      <c r="B407" s="54">
        <v>43768</v>
      </c>
      <c r="C407" s="46">
        <v>84.050003000000004</v>
      </c>
      <c r="D407" s="55">
        <f t="shared" si="12"/>
        <v>7.1383125738041869E-2</v>
      </c>
      <c r="F407" s="60">
        <v>43768</v>
      </c>
      <c r="G407" s="47">
        <v>64.986289999999997</v>
      </c>
      <c r="H407" s="55">
        <f t="shared" si="13"/>
        <v>2.1860592849333011E-3</v>
      </c>
    </row>
    <row r="408" spans="2:8">
      <c r="B408" s="54">
        <v>43769</v>
      </c>
      <c r="C408" s="46">
        <v>82.459998999999996</v>
      </c>
      <c r="D408" s="55">
        <f t="shared" si="12"/>
        <v>-1.8917358039832639E-2</v>
      </c>
      <c r="F408" s="60">
        <v>43769</v>
      </c>
      <c r="G408" s="47">
        <v>64.778373999999999</v>
      </c>
      <c r="H408" s="55">
        <f t="shared" si="13"/>
        <v>-3.1993825159121613E-3</v>
      </c>
    </row>
    <row r="409" spans="2:8">
      <c r="B409" s="54">
        <v>43770</v>
      </c>
      <c r="C409" s="46">
        <v>81.889999000000003</v>
      </c>
      <c r="D409" s="55">
        <f t="shared" si="12"/>
        <v>-6.912442480141107E-3</v>
      </c>
      <c r="F409" s="60">
        <v>43770</v>
      </c>
      <c r="G409" s="47">
        <v>65.421051000000006</v>
      </c>
      <c r="H409" s="55">
        <f t="shared" si="13"/>
        <v>9.9211659743112125E-3</v>
      </c>
    </row>
    <row r="410" spans="2:8">
      <c r="B410" s="54">
        <v>43773</v>
      </c>
      <c r="C410" s="46">
        <v>83.269997000000004</v>
      </c>
      <c r="D410" s="55">
        <f t="shared" si="12"/>
        <v>1.685185024852669E-2</v>
      </c>
      <c r="F410" s="60">
        <v>43773</v>
      </c>
      <c r="G410" s="47">
        <v>65.695144999999997</v>
      </c>
      <c r="H410" s="55">
        <f t="shared" si="13"/>
        <v>4.1896911744812989E-3</v>
      </c>
    </row>
    <row r="411" spans="2:8">
      <c r="B411" s="54">
        <v>43774</v>
      </c>
      <c r="C411" s="46">
        <v>84.239998</v>
      </c>
      <c r="D411" s="55">
        <f t="shared" si="12"/>
        <v>1.1648865557182574E-2</v>
      </c>
      <c r="F411" s="60">
        <v>43774</v>
      </c>
      <c r="G411" s="47">
        <v>65.638428000000005</v>
      </c>
      <c r="H411" s="55">
        <f t="shared" si="13"/>
        <v>-8.6333624805899915E-4</v>
      </c>
    </row>
    <row r="412" spans="2:8">
      <c r="B412" s="54">
        <v>43775</v>
      </c>
      <c r="C412" s="46">
        <v>84.879997000000003</v>
      </c>
      <c r="D412" s="55">
        <f t="shared" si="12"/>
        <v>7.5973292402025357E-3</v>
      </c>
      <c r="F412" s="60">
        <v>43775</v>
      </c>
      <c r="G412" s="47">
        <v>65.600639000000001</v>
      </c>
      <c r="H412" s="55">
        <f t="shared" si="13"/>
        <v>-5.7571457987999988E-4</v>
      </c>
    </row>
    <row r="413" spans="2:8">
      <c r="B413" s="54">
        <v>43776</v>
      </c>
      <c r="C413" s="46">
        <v>82.690002000000007</v>
      </c>
      <c r="D413" s="55">
        <f t="shared" si="12"/>
        <v>-2.5801073013704229E-2</v>
      </c>
      <c r="F413" s="60">
        <v>43776</v>
      </c>
      <c r="G413" s="47">
        <v>65.836922000000001</v>
      </c>
      <c r="H413" s="55">
        <f t="shared" si="13"/>
        <v>3.6018399150044901E-3</v>
      </c>
    </row>
    <row r="414" spans="2:8">
      <c r="B414" s="54">
        <v>43777</v>
      </c>
      <c r="C414" s="46">
        <v>83.050003000000004</v>
      </c>
      <c r="D414" s="55">
        <f t="shared" si="12"/>
        <v>4.3536218562432354E-3</v>
      </c>
      <c r="F414" s="60">
        <v>43777</v>
      </c>
      <c r="G414" s="47">
        <v>66.016479000000004</v>
      </c>
      <c r="H414" s="55">
        <f t="shared" si="13"/>
        <v>2.7272994323762983E-3</v>
      </c>
    </row>
    <row r="415" spans="2:8">
      <c r="B415" s="54">
        <v>43780</v>
      </c>
      <c r="C415" s="46">
        <v>82.809997999999993</v>
      </c>
      <c r="D415" s="55">
        <f t="shared" si="12"/>
        <v>-2.8898855066869854E-3</v>
      </c>
      <c r="F415" s="60">
        <v>43780</v>
      </c>
      <c r="G415" s="47">
        <v>65.912514000000002</v>
      </c>
      <c r="H415" s="55">
        <f t="shared" si="13"/>
        <v>-1.5748340652945501E-3</v>
      </c>
    </row>
    <row r="416" spans="2:8">
      <c r="B416" s="54">
        <v>43781</v>
      </c>
      <c r="C416" s="46">
        <v>82.830001999999993</v>
      </c>
      <c r="D416" s="55">
        <f t="shared" si="12"/>
        <v>2.4156503421241641E-4</v>
      </c>
      <c r="F416" s="60">
        <v>43781</v>
      </c>
      <c r="G416" s="47">
        <v>65.988129000000001</v>
      </c>
      <c r="H416" s="55">
        <f t="shared" si="13"/>
        <v>1.1472024872241878E-3</v>
      </c>
    </row>
    <row r="417" spans="2:8">
      <c r="B417" s="54">
        <v>43782</v>
      </c>
      <c r="C417" s="46">
        <v>82.830001999999993</v>
      </c>
      <c r="D417" s="55">
        <f t="shared" si="12"/>
        <v>0</v>
      </c>
      <c r="F417" s="60">
        <v>43782</v>
      </c>
      <c r="G417" s="47">
        <v>66.044830000000005</v>
      </c>
      <c r="H417" s="55">
        <f t="shared" si="13"/>
        <v>8.5926061034408E-4</v>
      </c>
    </row>
    <row r="418" spans="2:8">
      <c r="B418" s="54">
        <v>43783</v>
      </c>
      <c r="C418" s="46">
        <v>82.720000999999996</v>
      </c>
      <c r="D418" s="55">
        <f t="shared" si="12"/>
        <v>-1.3280332891938951E-3</v>
      </c>
      <c r="F418" s="60">
        <v>43783</v>
      </c>
      <c r="G418" s="47">
        <v>66.129906000000005</v>
      </c>
      <c r="H418" s="55">
        <f t="shared" si="13"/>
        <v>1.2881553332789381E-3</v>
      </c>
    </row>
    <row r="419" spans="2:8">
      <c r="B419" s="54">
        <v>43784</v>
      </c>
      <c r="C419" s="46">
        <v>84.279999000000004</v>
      </c>
      <c r="D419" s="55">
        <f t="shared" si="12"/>
        <v>1.8858776367761496E-2</v>
      </c>
      <c r="F419" s="60">
        <v>43784</v>
      </c>
      <c r="G419" s="47">
        <v>66.592986999999994</v>
      </c>
      <c r="H419" s="55">
        <f t="shared" si="13"/>
        <v>7.0025957696051811E-3</v>
      </c>
    </row>
    <row r="420" spans="2:8">
      <c r="B420" s="54">
        <v>43787</v>
      </c>
      <c r="C420" s="46">
        <v>84.660004000000001</v>
      </c>
      <c r="D420" s="55">
        <f t="shared" si="12"/>
        <v>4.5088396358428651E-3</v>
      </c>
      <c r="F420" s="60">
        <v>43787</v>
      </c>
      <c r="G420" s="47">
        <v>66.630806000000007</v>
      </c>
      <c r="H420" s="55">
        <f t="shared" si="13"/>
        <v>5.6791265422608472E-4</v>
      </c>
    </row>
    <row r="421" spans="2:8">
      <c r="B421" s="54">
        <v>43788</v>
      </c>
      <c r="C421" s="46">
        <v>85.290001000000004</v>
      </c>
      <c r="D421" s="55">
        <f t="shared" si="12"/>
        <v>7.4414950417437146E-3</v>
      </c>
      <c r="F421" s="60">
        <v>43788</v>
      </c>
      <c r="G421" s="47">
        <v>66.659156999999993</v>
      </c>
      <c r="H421" s="55">
        <f t="shared" si="13"/>
        <v>4.2549387741139537E-4</v>
      </c>
    </row>
    <row r="422" spans="2:8">
      <c r="B422" s="54">
        <v>43789</v>
      </c>
      <c r="C422" s="46">
        <v>85.43</v>
      </c>
      <c r="D422" s="55">
        <f t="shared" si="12"/>
        <v>1.6414468092221396E-3</v>
      </c>
      <c r="F422" s="60">
        <v>43789</v>
      </c>
      <c r="G422" s="47">
        <v>66.413428999999994</v>
      </c>
      <c r="H422" s="55">
        <f t="shared" si="13"/>
        <v>-3.6863352472339211E-3</v>
      </c>
    </row>
    <row r="423" spans="2:8">
      <c r="B423" s="54">
        <v>43790</v>
      </c>
      <c r="C423" s="46">
        <v>84.660004000000001</v>
      </c>
      <c r="D423" s="55">
        <f t="shared" si="12"/>
        <v>-9.0131803815990414E-3</v>
      </c>
      <c r="F423" s="60">
        <v>43790</v>
      </c>
      <c r="G423" s="47">
        <v>66.318916000000002</v>
      </c>
      <c r="H423" s="55">
        <f t="shared" si="13"/>
        <v>-1.4231007406648448E-3</v>
      </c>
    </row>
    <row r="424" spans="2:8">
      <c r="B424" s="54">
        <v>43791</v>
      </c>
      <c r="C424" s="46">
        <v>82.690002000000007</v>
      </c>
      <c r="D424" s="55">
        <f t="shared" si="12"/>
        <v>-2.3269571307839694E-2</v>
      </c>
      <c r="F424" s="60">
        <v>43791</v>
      </c>
      <c r="G424" s="47">
        <v>66.422897000000006</v>
      </c>
      <c r="H424" s="55">
        <f t="shared" si="13"/>
        <v>1.5678935403589005E-3</v>
      </c>
    </row>
    <row r="425" spans="2:8">
      <c r="B425" s="54">
        <v>43794</v>
      </c>
      <c r="C425" s="46">
        <v>82.849997999999999</v>
      </c>
      <c r="D425" s="55">
        <f t="shared" si="12"/>
        <v>1.934889298950464E-3</v>
      </c>
      <c r="F425" s="60">
        <v>43794</v>
      </c>
      <c r="G425" s="47">
        <v>67.008865</v>
      </c>
      <c r="H425" s="55">
        <f t="shared" si="13"/>
        <v>8.8217772254045763E-3</v>
      </c>
    </row>
    <row r="426" spans="2:8">
      <c r="B426" s="54">
        <v>43795</v>
      </c>
      <c r="C426" s="46">
        <v>83.510002</v>
      </c>
      <c r="D426" s="55">
        <f t="shared" si="12"/>
        <v>7.966252455431571E-3</v>
      </c>
      <c r="F426" s="60">
        <v>43795</v>
      </c>
      <c r="G426" s="47">
        <v>67.188416000000004</v>
      </c>
      <c r="H426" s="55">
        <f t="shared" si="13"/>
        <v>2.6795111363250752E-3</v>
      </c>
    </row>
    <row r="427" spans="2:8">
      <c r="B427" s="54">
        <v>43796</v>
      </c>
      <c r="C427" s="46">
        <v>83.440002000000007</v>
      </c>
      <c r="D427" s="55">
        <f t="shared" si="12"/>
        <v>-8.3822294723443045E-4</v>
      </c>
      <c r="F427" s="60">
        <v>43796</v>
      </c>
      <c r="G427" s="47">
        <v>67.528664000000006</v>
      </c>
      <c r="H427" s="55">
        <f t="shared" si="13"/>
        <v>5.064087237895332E-3</v>
      </c>
    </row>
    <row r="428" spans="2:8">
      <c r="B428" s="54">
        <v>43798</v>
      </c>
      <c r="C428" s="46">
        <v>82.650002000000001</v>
      </c>
      <c r="D428" s="55">
        <f t="shared" si="12"/>
        <v>-9.4678808852378289E-3</v>
      </c>
      <c r="F428" s="60">
        <v>43798</v>
      </c>
      <c r="G428" s="47">
        <v>67.207344000000006</v>
      </c>
      <c r="H428" s="55">
        <f t="shared" si="13"/>
        <v>-4.758275685714736E-3</v>
      </c>
    </row>
    <row r="429" spans="2:8">
      <c r="B429" s="54">
        <v>43801</v>
      </c>
      <c r="C429" s="46">
        <v>82.68</v>
      </c>
      <c r="D429" s="55">
        <f t="shared" si="12"/>
        <v>3.6295219932367561E-4</v>
      </c>
      <c r="F429" s="60">
        <v>43801</v>
      </c>
      <c r="G429" s="47">
        <v>66.611900000000006</v>
      </c>
      <c r="H429" s="55">
        <f t="shared" si="13"/>
        <v>-8.859805559344831E-3</v>
      </c>
    </row>
    <row r="430" spans="2:8">
      <c r="B430" s="54">
        <v>43802</v>
      </c>
      <c r="C430" s="46">
        <v>83.029999000000004</v>
      </c>
      <c r="D430" s="55">
        <f t="shared" si="12"/>
        <v>4.2331761006288923E-3</v>
      </c>
      <c r="F430" s="60">
        <v>43802</v>
      </c>
      <c r="G430" s="47">
        <v>66.243301000000002</v>
      </c>
      <c r="H430" s="55">
        <f t="shared" si="13"/>
        <v>-5.5335307955485915E-3</v>
      </c>
    </row>
    <row r="431" spans="2:8">
      <c r="B431" s="54">
        <v>43803</v>
      </c>
      <c r="C431" s="46">
        <v>82.610000999999997</v>
      </c>
      <c r="D431" s="55">
        <f t="shared" si="12"/>
        <v>-5.0583885951872255E-3</v>
      </c>
      <c r="F431" s="60">
        <v>43803</v>
      </c>
      <c r="G431" s="47">
        <v>66.640259</v>
      </c>
      <c r="H431" s="55">
        <f t="shared" si="13"/>
        <v>5.9924248038303214E-3</v>
      </c>
    </row>
    <row r="432" spans="2:8">
      <c r="B432" s="54">
        <v>43804</v>
      </c>
      <c r="C432" s="46">
        <v>83.129997000000003</v>
      </c>
      <c r="D432" s="55">
        <f t="shared" si="12"/>
        <v>6.2945889566083666E-3</v>
      </c>
      <c r="F432" s="60">
        <v>43804</v>
      </c>
      <c r="G432" s="47">
        <v>66.734779000000003</v>
      </c>
      <c r="H432" s="55">
        <f t="shared" si="13"/>
        <v>1.4183618343980749E-3</v>
      </c>
    </row>
    <row r="433" spans="2:8">
      <c r="B433" s="54">
        <v>43805</v>
      </c>
      <c r="C433" s="46">
        <v>84.860000999999997</v>
      </c>
      <c r="D433" s="55">
        <f t="shared" si="12"/>
        <v>2.0810827167478351E-2</v>
      </c>
      <c r="F433" s="60">
        <v>43805</v>
      </c>
      <c r="G433" s="47">
        <v>67.292404000000005</v>
      </c>
      <c r="H433" s="55">
        <f t="shared" si="13"/>
        <v>8.35583796568805E-3</v>
      </c>
    </row>
    <row r="434" spans="2:8">
      <c r="B434" s="54">
        <v>43808</v>
      </c>
      <c r="C434" s="46">
        <v>83.959998999999996</v>
      </c>
      <c r="D434" s="55">
        <f t="shared" si="12"/>
        <v>-1.0605726954917202E-2</v>
      </c>
      <c r="F434" s="60">
        <v>43808</v>
      </c>
      <c r="G434" s="47">
        <v>67.131698999999998</v>
      </c>
      <c r="H434" s="55">
        <f t="shared" si="13"/>
        <v>-2.3881595907913646E-3</v>
      </c>
    </row>
    <row r="435" spans="2:8">
      <c r="B435" s="54">
        <v>43809</v>
      </c>
      <c r="C435" s="46">
        <v>83.309997999999993</v>
      </c>
      <c r="D435" s="55">
        <f t="shared" si="12"/>
        <v>-7.7417938034992492E-3</v>
      </c>
      <c r="F435" s="60">
        <v>43809</v>
      </c>
      <c r="G435" s="47">
        <v>67.018326000000002</v>
      </c>
      <c r="H435" s="55">
        <f t="shared" si="13"/>
        <v>-1.6888146984034432E-3</v>
      </c>
    </row>
    <row r="436" spans="2:8">
      <c r="B436" s="54">
        <v>43810</v>
      </c>
      <c r="C436" s="46">
        <v>83.669998000000007</v>
      </c>
      <c r="D436" s="55">
        <f t="shared" si="12"/>
        <v>4.3212100425211106E-3</v>
      </c>
      <c r="F436" s="60">
        <v>43810</v>
      </c>
      <c r="G436" s="47">
        <v>67.235680000000002</v>
      </c>
      <c r="H436" s="55">
        <f t="shared" si="13"/>
        <v>3.2432024637559622E-3</v>
      </c>
    </row>
    <row r="437" spans="2:8">
      <c r="B437" s="54">
        <v>43811</v>
      </c>
      <c r="C437" s="46">
        <v>83.68</v>
      </c>
      <c r="D437" s="55">
        <f t="shared" si="12"/>
        <v>1.1954105699871136E-4</v>
      </c>
      <c r="F437" s="60">
        <v>43811</v>
      </c>
      <c r="G437" s="47">
        <v>67.727135000000004</v>
      </c>
      <c r="H437" s="55">
        <f t="shared" si="13"/>
        <v>7.3094374891426988E-3</v>
      </c>
    </row>
    <row r="438" spans="2:8">
      <c r="B438" s="54">
        <v>43812</v>
      </c>
      <c r="C438" s="46">
        <v>83.68</v>
      </c>
      <c r="D438" s="55">
        <f t="shared" si="12"/>
        <v>0</v>
      </c>
      <c r="F438" s="60">
        <v>43812</v>
      </c>
      <c r="G438" s="47">
        <v>67.793304000000006</v>
      </c>
      <c r="H438" s="55">
        <f t="shared" si="13"/>
        <v>9.7699393308165383E-4</v>
      </c>
    </row>
    <row r="439" spans="2:8">
      <c r="B439" s="54">
        <v>43815</v>
      </c>
      <c r="C439" s="46">
        <v>83.800003000000004</v>
      </c>
      <c r="D439" s="55">
        <f t="shared" si="12"/>
        <v>1.4340702676863882E-3</v>
      </c>
      <c r="F439" s="60">
        <v>43815</v>
      </c>
      <c r="G439" s="47">
        <v>68.274520999999993</v>
      </c>
      <c r="H439" s="55">
        <f t="shared" si="13"/>
        <v>7.0982969055466989E-3</v>
      </c>
    </row>
    <row r="440" spans="2:8">
      <c r="B440" s="54">
        <v>43816</v>
      </c>
      <c r="C440" s="46">
        <v>83.970000999999996</v>
      </c>
      <c r="D440" s="55">
        <f t="shared" si="12"/>
        <v>2.0286156791664142E-3</v>
      </c>
      <c r="F440" s="60">
        <v>43816</v>
      </c>
      <c r="G440" s="47">
        <v>68.265015000000005</v>
      </c>
      <c r="H440" s="55">
        <f t="shared" si="13"/>
        <v>-1.3923202771334831E-4</v>
      </c>
    </row>
    <row r="441" spans="2:8">
      <c r="B441" s="54">
        <v>43817</v>
      </c>
      <c r="C441" s="46">
        <v>83.019997000000004</v>
      </c>
      <c r="D441" s="55">
        <f t="shared" si="12"/>
        <v>-1.1313611869553184E-2</v>
      </c>
      <c r="F441" s="60">
        <v>43817</v>
      </c>
      <c r="G441" s="47">
        <v>68.303047000000007</v>
      </c>
      <c r="H441" s="55">
        <f t="shared" si="13"/>
        <v>5.5712285421751059E-4</v>
      </c>
    </row>
    <row r="442" spans="2:8">
      <c r="B442" s="54">
        <v>43818</v>
      </c>
      <c r="C442" s="46">
        <v>84</v>
      </c>
      <c r="D442" s="55">
        <f t="shared" si="12"/>
        <v>1.1804421048099969E-2</v>
      </c>
      <c r="F442" s="60">
        <v>43818</v>
      </c>
      <c r="G442" s="47">
        <v>68.588370999999995</v>
      </c>
      <c r="H442" s="55">
        <f t="shared" si="13"/>
        <v>4.1773246221356499E-3</v>
      </c>
    </row>
    <row r="443" spans="2:8">
      <c r="B443" s="54">
        <v>43819</v>
      </c>
      <c r="C443" s="46">
        <v>85.980002999999996</v>
      </c>
      <c r="D443" s="55">
        <f t="shared" si="12"/>
        <v>2.3571464285714244E-2</v>
      </c>
      <c r="F443" s="60">
        <v>43819</v>
      </c>
      <c r="G443" s="47">
        <v>68.902191000000002</v>
      </c>
      <c r="H443" s="55">
        <f t="shared" si="13"/>
        <v>4.5754111874155299E-3</v>
      </c>
    </row>
    <row r="444" spans="2:8">
      <c r="B444" s="54">
        <v>43822</v>
      </c>
      <c r="C444" s="46">
        <v>86.010002</v>
      </c>
      <c r="D444" s="55">
        <f t="shared" si="12"/>
        <v>3.4890671031965028E-4</v>
      </c>
      <c r="F444" s="60">
        <v>43822</v>
      </c>
      <c r="G444" s="47">
        <v>68.997321999999997</v>
      </c>
      <c r="H444" s="55">
        <f t="shared" si="13"/>
        <v>1.3806672707983257E-3</v>
      </c>
    </row>
    <row r="445" spans="2:8">
      <c r="B445" s="54">
        <v>43823</v>
      </c>
      <c r="C445" s="46">
        <v>86</v>
      </c>
      <c r="D445" s="55">
        <f t="shared" si="12"/>
        <v>-1.1628880092340966E-4</v>
      </c>
      <c r="F445" s="60">
        <v>43823</v>
      </c>
      <c r="G445" s="47">
        <v>69.016318999999996</v>
      </c>
      <c r="H445" s="55">
        <f t="shared" si="13"/>
        <v>2.7532952655754989E-4</v>
      </c>
    </row>
    <row r="446" spans="2:8">
      <c r="B446" s="54">
        <v>43825</v>
      </c>
      <c r="C446" s="46">
        <v>86.860000999999997</v>
      </c>
      <c r="D446" s="55">
        <f t="shared" si="12"/>
        <v>1.0000011627906941E-2</v>
      </c>
      <c r="F446" s="60">
        <v>43825</v>
      </c>
      <c r="G446" s="47">
        <v>69.387230000000002</v>
      </c>
      <c r="H446" s="55">
        <f t="shared" si="13"/>
        <v>5.3742506898985251E-3</v>
      </c>
    </row>
    <row r="447" spans="2:8">
      <c r="B447" s="54">
        <v>43826</v>
      </c>
      <c r="C447" s="46">
        <v>86.209998999999996</v>
      </c>
      <c r="D447" s="55">
        <f t="shared" si="12"/>
        <v>-7.48332940958636E-3</v>
      </c>
      <c r="F447" s="60">
        <v>43826</v>
      </c>
      <c r="G447" s="47">
        <v>69.330162000000001</v>
      </c>
      <c r="H447" s="55">
        <f t="shared" si="13"/>
        <v>-8.2245681229818515E-4</v>
      </c>
    </row>
    <row r="448" spans="2:8">
      <c r="B448" s="54">
        <v>43829</v>
      </c>
      <c r="C448" s="46">
        <v>86.050003000000004</v>
      </c>
      <c r="D448" s="55">
        <f t="shared" si="12"/>
        <v>-1.855886809603054E-3</v>
      </c>
      <c r="F448" s="60">
        <v>43829</v>
      </c>
      <c r="G448" s="47">
        <v>68.921233999999998</v>
      </c>
      <c r="H448" s="55">
        <f t="shared" si="13"/>
        <v>-5.8982697891287643E-3</v>
      </c>
    </row>
    <row r="449" spans="2:8">
      <c r="B449" s="54">
        <v>43830</v>
      </c>
      <c r="C449" s="46">
        <v>85.75</v>
      </c>
      <c r="D449" s="55">
        <f t="shared" si="12"/>
        <v>-3.4863798900739585E-3</v>
      </c>
      <c r="F449" s="60">
        <v>43830</v>
      </c>
      <c r="G449" s="47">
        <v>69.130454999999998</v>
      </c>
      <c r="H449" s="55">
        <f t="shared" si="13"/>
        <v>3.035653714499648E-3</v>
      </c>
    </row>
    <row r="450" spans="2:8">
      <c r="B450" s="54">
        <v>43832</v>
      </c>
      <c r="C450" s="46">
        <v>85.019997000000004</v>
      </c>
      <c r="D450" s="55">
        <f t="shared" si="12"/>
        <v>-8.513154518950395E-3</v>
      </c>
      <c r="F450" s="60">
        <v>43832</v>
      </c>
      <c r="G450" s="47">
        <v>69.653525999999999</v>
      </c>
      <c r="H450" s="55">
        <f t="shared" si="13"/>
        <v>7.5664336362316958E-3</v>
      </c>
    </row>
    <row r="451" spans="2:8">
      <c r="B451" s="54">
        <v>43833</v>
      </c>
      <c r="C451" s="46">
        <v>85.279999000000004</v>
      </c>
      <c r="D451" s="55">
        <f t="shared" si="12"/>
        <v>3.0581276073204291E-3</v>
      </c>
      <c r="F451" s="60">
        <v>43833</v>
      </c>
      <c r="G451" s="47">
        <v>69.225539999999995</v>
      </c>
      <c r="H451" s="55">
        <f t="shared" si="13"/>
        <v>-6.1444987006114265E-3</v>
      </c>
    </row>
    <row r="452" spans="2:8">
      <c r="B452" s="54">
        <v>43836</v>
      </c>
      <c r="C452" s="46">
        <v>85.239998</v>
      </c>
      <c r="D452" s="55">
        <f t="shared" si="12"/>
        <v>-4.6905488354899872E-4</v>
      </c>
      <c r="F452" s="60">
        <v>43836</v>
      </c>
      <c r="G452" s="47">
        <v>69.491828999999996</v>
      </c>
      <c r="H452" s="55">
        <f t="shared" si="13"/>
        <v>3.8466872197746738E-3</v>
      </c>
    </row>
    <row r="453" spans="2:8">
      <c r="B453" s="54">
        <v>43837</v>
      </c>
      <c r="C453" s="46">
        <v>84.230002999999996</v>
      </c>
      <c r="D453" s="55">
        <f t="shared" si="12"/>
        <v>-1.1848838851450976E-2</v>
      </c>
      <c r="F453" s="60">
        <v>43837</v>
      </c>
      <c r="G453" s="47">
        <v>69.273109000000005</v>
      </c>
      <c r="H453" s="55">
        <f t="shared" si="13"/>
        <v>-3.1474203967201738E-3</v>
      </c>
    </row>
    <row r="454" spans="2:8">
      <c r="B454" s="54">
        <v>43838</v>
      </c>
      <c r="C454" s="46">
        <v>82.800003000000004</v>
      </c>
      <c r="D454" s="55">
        <f t="shared" ref="D454:D517" si="14">(C454-C453)/C453</f>
        <v>-1.6977323389149028E-2</v>
      </c>
      <c r="F454" s="60">
        <v>43838</v>
      </c>
      <c r="G454" s="47">
        <v>69.586945</v>
      </c>
      <c r="H454" s="55">
        <f t="shared" ref="H454:H517" si="15">(G454-G453)/G453</f>
        <v>4.5304159800305032E-3</v>
      </c>
    </row>
    <row r="455" spans="2:8">
      <c r="B455" s="54">
        <v>43839</v>
      </c>
      <c r="C455" s="46">
        <v>84.239998</v>
      </c>
      <c r="D455" s="55">
        <f t="shared" si="14"/>
        <v>1.7391243331235099E-2</v>
      </c>
      <c r="F455" s="60">
        <v>43839</v>
      </c>
      <c r="G455" s="47">
        <v>70.071983000000003</v>
      </c>
      <c r="H455" s="55">
        <f t="shared" si="15"/>
        <v>6.9702442031332598E-3</v>
      </c>
    </row>
    <row r="456" spans="2:8">
      <c r="B456" s="54">
        <v>43840</v>
      </c>
      <c r="C456" s="46">
        <v>82.830001999999993</v>
      </c>
      <c r="D456" s="55">
        <f t="shared" si="14"/>
        <v>-1.6737844651895727E-2</v>
      </c>
      <c r="F456" s="60">
        <v>43840</v>
      </c>
      <c r="G456" s="47">
        <v>69.872253000000001</v>
      </c>
      <c r="H456" s="55">
        <f t="shared" si="15"/>
        <v>-2.8503546131982936E-3</v>
      </c>
    </row>
    <row r="457" spans="2:8">
      <c r="B457" s="54">
        <v>43843</v>
      </c>
      <c r="C457" s="46">
        <v>83.040001000000004</v>
      </c>
      <c r="D457" s="55">
        <f t="shared" si="14"/>
        <v>2.5353011581481129E-3</v>
      </c>
      <c r="F457" s="60">
        <v>43843</v>
      </c>
      <c r="G457" s="47">
        <v>70.376311999999999</v>
      </c>
      <c r="H457" s="55">
        <f t="shared" si="15"/>
        <v>7.2140081127768704E-3</v>
      </c>
    </row>
    <row r="458" spans="2:8">
      <c r="B458" s="54">
        <v>43844</v>
      </c>
      <c r="C458" s="46">
        <v>81.669998000000007</v>
      </c>
      <c r="D458" s="55">
        <f t="shared" si="14"/>
        <v>-1.6498109146217337E-2</v>
      </c>
      <c r="F458" s="60">
        <v>43844</v>
      </c>
      <c r="G458" s="47">
        <v>70.281204000000002</v>
      </c>
      <c r="H458" s="55">
        <f t="shared" si="15"/>
        <v>-1.3514206314192223E-3</v>
      </c>
    </row>
    <row r="459" spans="2:8">
      <c r="B459" s="54">
        <v>43845</v>
      </c>
      <c r="C459" s="46">
        <v>82.639999000000003</v>
      </c>
      <c r="D459" s="55">
        <f t="shared" si="14"/>
        <v>1.1877078777447703E-2</v>
      </c>
      <c r="F459" s="60">
        <v>43845</v>
      </c>
      <c r="G459" s="47">
        <v>70.480911000000006</v>
      </c>
      <c r="H459" s="55">
        <f t="shared" si="15"/>
        <v>2.8415420999333423E-3</v>
      </c>
    </row>
    <row r="460" spans="2:8">
      <c r="B460" s="54">
        <v>43846</v>
      </c>
      <c r="C460" s="46">
        <v>84.160004000000001</v>
      </c>
      <c r="D460" s="55">
        <f t="shared" si="14"/>
        <v>1.8393090735637566E-2</v>
      </c>
      <c r="F460" s="60">
        <v>43846</v>
      </c>
      <c r="G460" s="47">
        <v>71.118103000000005</v>
      </c>
      <c r="H460" s="55">
        <f t="shared" si="15"/>
        <v>9.0406322926217392E-3</v>
      </c>
    </row>
    <row r="461" spans="2:8">
      <c r="B461" s="54">
        <v>43847</v>
      </c>
      <c r="C461" s="46">
        <v>84.099997999999999</v>
      </c>
      <c r="D461" s="55">
        <f t="shared" si="14"/>
        <v>-7.1299901554188773E-4</v>
      </c>
      <c r="F461" s="60">
        <v>43847</v>
      </c>
      <c r="G461" s="47">
        <v>71.260750000000002</v>
      </c>
      <c r="H461" s="55">
        <f t="shared" si="15"/>
        <v>2.0057762226868823E-3</v>
      </c>
    </row>
    <row r="462" spans="2:8">
      <c r="B462" s="54">
        <v>43851</v>
      </c>
      <c r="C462" s="46">
        <v>84.970000999999996</v>
      </c>
      <c r="D462" s="55">
        <f t="shared" si="14"/>
        <v>1.0344863504039525E-2</v>
      </c>
      <c r="F462" s="60">
        <v>43851</v>
      </c>
      <c r="G462" s="47">
        <v>71.080055000000002</v>
      </c>
      <c r="H462" s="55">
        <f t="shared" si="15"/>
        <v>-2.5356875980115288E-3</v>
      </c>
    </row>
    <row r="463" spans="2:8">
      <c r="B463" s="54">
        <v>43852</v>
      </c>
      <c r="C463" s="46">
        <v>86.690002000000007</v>
      </c>
      <c r="D463" s="55">
        <f t="shared" si="14"/>
        <v>2.0242450038337773E-2</v>
      </c>
      <c r="F463" s="60">
        <v>43852</v>
      </c>
      <c r="G463" s="47">
        <v>71.146645000000007</v>
      </c>
      <c r="H463" s="55">
        <f t="shared" si="15"/>
        <v>9.3683101398845336E-4</v>
      </c>
    </row>
    <row r="464" spans="2:8">
      <c r="B464" s="54">
        <v>43853</v>
      </c>
      <c r="C464" s="46">
        <v>86.32</v>
      </c>
      <c r="D464" s="55">
        <f t="shared" si="14"/>
        <v>-4.2681046425632066E-3</v>
      </c>
      <c r="F464" s="60">
        <v>43853</v>
      </c>
      <c r="G464" s="47">
        <v>71.194182999999995</v>
      </c>
      <c r="H464" s="55">
        <f t="shared" si="15"/>
        <v>6.6816924396067797E-4</v>
      </c>
    </row>
    <row r="465" spans="2:8">
      <c r="B465" s="54">
        <v>43854</v>
      </c>
      <c r="C465" s="46">
        <v>85.620002999999997</v>
      </c>
      <c r="D465" s="55">
        <f t="shared" si="14"/>
        <v>-8.1093257645968048E-3</v>
      </c>
      <c r="F465" s="60">
        <v>43854</v>
      </c>
      <c r="G465" s="47">
        <v>70.509438000000003</v>
      </c>
      <c r="H465" s="55">
        <f t="shared" si="15"/>
        <v>-9.617990840627982E-3</v>
      </c>
    </row>
    <row r="466" spans="2:8">
      <c r="B466" s="54">
        <v>43857</v>
      </c>
      <c r="C466" s="46">
        <v>85.25</v>
      </c>
      <c r="D466" s="55">
        <f t="shared" si="14"/>
        <v>-4.3214551160433504E-3</v>
      </c>
      <c r="F466" s="60">
        <v>43857</v>
      </c>
      <c r="G466" s="47">
        <v>69.482337999999999</v>
      </c>
      <c r="H466" s="55">
        <f t="shared" si="15"/>
        <v>-1.4566844228711684E-2</v>
      </c>
    </row>
    <row r="467" spans="2:8">
      <c r="B467" s="54">
        <v>43858</v>
      </c>
      <c r="C467" s="46">
        <v>85.980002999999996</v>
      </c>
      <c r="D467" s="55">
        <f t="shared" si="14"/>
        <v>8.5630850439882278E-3</v>
      </c>
      <c r="F467" s="60">
        <v>43858</v>
      </c>
      <c r="G467" s="47">
        <v>70.157561999999999</v>
      </c>
      <c r="H467" s="55">
        <f t="shared" si="15"/>
        <v>9.7179228482495803E-3</v>
      </c>
    </row>
    <row r="468" spans="2:8">
      <c r="B468" s="54">
        <v>43859</v>
      </c>
      <c r="C468" s="46">
        <v>85.599997999999999</v>
      </c>
      <c r="D468" s="55">
        <f t="shared" si="14"/>
        <v>-4.419690471515767E-3</v>
      </c>
      <c r="F468" s="60">
        <v>43859</v>
      </c>
      <c r="G468" s="47">
        <v>70.100493999999998</v>
      </c>
      <c r="H468" s="55">
        <f t="shared" si="15"/>
        <v>-8.1342621341375868E-4</v>
      </c>
    </row>
    <row r="469" spans="2:8">
      <c r="B469" s="54">
        <v>43860</v>
      </c>
      <c r="C469" s="46">
        <v>85.379997000000003</v>
      </c>
      <c r="D469" s="55">
        <f t="shared" si="14"/>
        <v>-2.57010520023606E-3</v>
      </c>
      <c r="F469" s="60">
        <v>43860</v>
      </c>
      <c r="G469" s="47">
        <v>70.271690000000007</v>
      </c>
      <c r="H469" s="55">
        <f t="shared" si="15"/>
        <v>2.442151120932315E-3</v>
      </c>
    </row>
    <row r="470" spans="2:8">
      <c r="B470" s="54">
        <v>43861</v>
      </c>
      <c r="C470" s="46">
        <v>82.220000999999996</v>
      </c>
      <c r="D470" s="55">
        <f t="shared" si="14"/>
        <v>-3.7010964055199096E-2</v>
      </c>
      <c r="F470" s="60">
        <v>43861</v>
      </c>
      <c r="G470" s="47">
        <v>69.035347000000002</v>
      </c>
      <c r="H470" s="55">
        <f t="shared" si="15"/>
        <v>-1.7593756461528175E-2</v>
      </c>
    </row>
    <row r="471" spans="2:8">
      <c r="B471" s="54">
        <v>43864</v>
      </c>
      <c r="C471" s="46">
        <v>84.5</v>
      </c>
      <c r="D471" s="55">
        <f t="shared" si="14"/>
        <v>2.7730466702378217E-2</v>
      </c>
      <c r="F471" s="60">
        <v>43864</v>
      </c>
      <c r="G471" s="47">
        <v>69.644012000000004</v>
      </c>
      <c r="H471" s="55">
        <f t="shared" si="15"/>
        <v>8.8167152980342372E-3</v>
      </c>
    </row>
    <row r="472" spans="2:8">
      <c r="B472" s="54">
        <v>43865</v>
      </c>
      <c r="C472" s="46">
        <v>85.360000999999997</v>
      </c>
      <c r="D472" s="55">
        <f t="shared" si="14"/>
        <v>1.0177526627218898E-2</v>
      </c>
      <c r="F472" s="60">
        <v>43865</v>
      </c>
      <c r="G472" s="47">
        <v>70.728188000000003</v>
      </c>
      <c r="H472" s="55">
        <f t="shared" si="15"/>
        <v>1.5567397237252778E-2</v>
      </c>
    </row>
    <row r="473" spans="2:8">
      <c r="B473" s="54">
        <v>43866</v>
      </c>
      <c r="C473" s="46">
        <v>85.860000999999997</v>
      </c>
      <c r="D473" s="55">
        <f t="shared" si="14"/>
        <v>5.8575444487166776E-3</v>
      </c>
      <c r="F473" s="60">
        <v>43866</v>
      </c>
      <c r="G473" s="47">
        <v>71.403412000000003</v>
      </c>
      <c r="H473" s="55">
        <f t="shared" si="15"/>
        <v>9.5467453513724976E-3</v>
      </c>
    </row>
    <row r="474" spans="2:8">
      <c r="B474" s="54">
        <v>43867</v>
      </c>
      <c r="C474" s="46">
        <v>85.540001000000004</v>
      </c>
      <c r="D474" s="55">
        <f t="shared" si="14"/>
        <v>-3.7269973942813395E-3</v>
      </c>
      <c r="F474" s="60">
        <v>43867</v>
      </c>
      <c r="G474" s="47">
        <v>71.593620000000001</v>
      </c>
      <c r="H474" s="55">
        <f t="shared" si="15"/>
        <v>2.6638502933164928E-3</v>
      </c>
    </row>
    <row r="475" spans="2:8">
      <c r="B475" s="54">
        <v>43868</v>
      </c>
      <c r="C475" s="46">
        <v>84.139999000000003</v>
      </c>
      <c r="D475" s="55">
        <f t="shared" si="14"/>
        <v>-1.6366635300834292E-2</v>
      </c>
      <c r="F475" s="60">
        <v>43868</v>
      </c>
      <c r="G475" s="47">
        <v>71.194182999999995</v>
      </c>
      <c r="H475" s="55">
        <f t="shared" si="15"/>
        <v>-5.5792261936190128E-3</v>
      </c>
    </row>
    <row r="476" spans="2:8">
      <c r="B476" s="54">
        <v>43871</v>
      </c>
      <c r="C476" s="46">
        <v>83.169998000000007</v>
      </c>
      <c r="D476" s="55">
        <f t="shared" si="14"/>
        <v>-1.1528417061188654E-2</v>
      </c>
      <c r="F476" s="60">
        <v>43871</v>
      </c>
      <c r="G476" s="47">
        <v>71.717254999999994</v>
      </c>
      <c r="H476" s="55">
        <f t="shared" si="15"/>
        <v>7.3471171092728054E-3</v>
      </c>
    </row>
    <row r="477" spans="2:8">
      <c r="B477" s="54">
        <v>43872</v>
      </c>
      <c r="C477" s="46">
        <v>84.150002000000001</v>
      </c>
      <c r="D477" s="55">
        <f t="shared" si="14"/>
        <v>1.1783143243552726E-2</v>
      </c>
      <c r="F477" s="60">
        <v>43872</v>
      </c>
      <c r="G477" s="47">
        <v>71.945503000000002</v>
      </c>
      <c r="H477" s="55">
        <f t="shared" si="15"/>
        <v>3.1826092618855504E-3</v>
      </c>
    </row>
    <row r="478" spans="2:8">
      <c r="B478" s="54">
        <v>43873</v>
      </c>
      <c r="C478" s="46">
        <v>85.489998</v>
      </c>
      <c r="D478" s="55">
        <f t="shared" si="14"/>
        <v>1.5923897423080268E-2</v>
      </c>
      <c r="F478" s="60">
        <v>43873</v>
      </c>
      <c r="G478" s="47">
        <v>72.392487000000003</v>
      </c>
      <c r="H478" s="55">
        <f t="shared" si="15"/>
        <v>6.2128136069880624E-3</v>
      </c>
    </row>
    <row r="479" spans="2:8">
      <c r="B479" s="54">
        <v>43874</v>
      </c>
      <c r="C479" s="46">
        <v>86.389999000000003</v>
      </c>
      <c r="D479" s="55">
        <f t="shared" si="14"/>
        <v>1.0527559025092071E-2</v>
      </c>
      <c r="F479" s="60">
        <v>43874</v>
      </c>
      <c r="G479" s="47">
        <v>72.325912000000002</v>
      </c>
      <c r="H479" s="55">
        <f t="shared" si="15"/>
        <v>-9.1963963056000925E-4</v>
      </c>
    </row>
    <row r="480" spans="2:8">
      <c r="B480" s="54">
        <v>43875</v>
      </c>
      <c r="C480" s="46">
        <v>86.900002000000001</v>
      </c>
      <c r="D480" s="55">
        <f t="shared" si="14"/>
        <v>5.9034958433093337E-3</v>
      </c>
      <c r="F480" s="60">
        <v>43875</v>
      </c>
      <c r="G480" s="47">
        <v>72.478081000000003</v>
      </c>
      <c r="H480" s="55">
        <f t="shared" si="15"/>
        <v>2.1039347557760581E-3</v>
      </c>
    </row>
    <row r="481" spans="2:8">
      <c r="B481" s="54">
        <v>43879</v>
      </c>
      <c r="C481" s="46">
        <v>86.669998000000007</v>
      </c>
      <c r="D481" s="55">
        <f t="shared" si="14"/>
        <v>-2.6467663372435122E-3</v>
      </c>
      <c r="F481" s="60">
        <v>43879</v>
      </c>
      <c r="G481" s="47">
        <v>72.259345999999994</v>
      </c>
      <c r="H481" s="55">
        <f t="shared" si="15"/>
        <v>-3.0179469017675765E-3</v>
      </c>
    </row>
    <row r="482" spans="2:8">
      <c r="B482" s="54">
        <v>43880</v>
      </c>
      <c r="C482" s="46">
        <v>87.720000999999996</v>
      </c>
      <c r="D482" s="55">
        <f t="shared" si="14"/>
        <v>1.2114953550593015E-2</v>
      </c>
      <c r="F482" s="60">
        <v>43880</v>
      </c>
      <c r="G482" s="47">
        <v>72.677773000000002</v>
      </c>
      <c r="H482" s="55">
        <f t="shared" si="15"/>
        <v>5.7906281078160928E-3</v>
      </c>
    </row>
    <row r="483" spans="2:8">
      <c r="B483" s="54">
        <v>43881</v>
      </c>
      <c r="C483" s="46">
        <v>88.370002999999997</v>
      </c>
      <c r="D483" s="55">
        <f t="shared" si="14"/>
        <v>7.4099634358189377E-3</v>
      </c>
      <c r="F483" s="60">
        <v>43881</v>
      </c>
      <c r="G483" s="47">
        <v>72.392487000000003</v>
      </c>
      <c r="H483" s="55">
        <f t="shared" si="15"/>
        <v>-3.9253541794683124E-3</v>
      </c>
    </row>
    <row r="484" spans="2:8">
      <c r="B484" s="54">
        <v>43882</v>
      </c>
      <c r="C484" s="46">
        <v>87.470000999999996</v>
      </c>
      <c r="D484" s="55">
        <f t="shared" si="14"/>
        <v>-1.0184474023385522E-2</v>
      </c>
      <c r="F484" s="60">
        <v>43882</v>
      </c>
      <c r="G484" s="47">
        <v>71.631653</v>
      </c>
      <c r="H484" s="55">
        <f t="shared" si="15"/>
        <v>-1.0509847520503096E-2</v>
      </c>
    </row>
    <row r="485" spans="2:8">
      <c r="B485" s="54">
        <v>43885</v>
      </c>
      <c r="C485" s="46">
        <v>84.669998000000007</v>
      </c>
      <c r="D485" s="55">
        <f t="shared" si="14"/>
        <v>-3.2011009123001949E-2</v>
      </c>
      <c r="F485" s="60">
        <v>43885</v>
      </c>
      <c r="G485" s="47">
        <v>69.29213</v>
      </c>
      <c r="H485" s="55">
        <f t="shared" si="15"/>
        <v>-3.2660463664017356E-2</v>
      </c>
    </row>
    <row r="486" spans="2:8">
      <c r="B486" s="54">
        <v>43886</v>
      </c>
      <c r="C486" s="46">
        <v>81.360000999999997</v>
      </c>
      <c r="D486" s="55">
        <f t="shared" si="14"/>
        <v>-3.909291458823478E-2</v>
      </c>
      <c r="F486" s="60">
        <v>43886</v>
      </c>
      <c r="G486" s="47">
        <v>67.237915000000001</v>
      </c>
      <c r="H486" s="55">
        <f t="shared" si="15"/>
        <v>-2.9645718785091455E-2</v>
      </c>
    </row>
    <row r="487" spans="2:8">
      <c r="B487" s="54">
        <v>43887</v>
      </c>
      <c r="C487" s="46">
        <v>77.809997999999993</v>
      </c>
      <c r="D487" s="55">
        <f t="shared" si="14"/>
        <v>-4.3633271341773999E-2</v>
      </c>
      <c r="F487" s="60">
        <v>43887</v>
      </c>
      <c r="G487" s="47">
        <v>66.819443000000007</v>
      </c>
      <c r="H487" s="55">
        <f t="shared" si="15"/>
        <v>-6.2237503944016434E-3</v>
      </c>
    </row>
    <row r="488" spans="2:8">
      <c r="B488" s="54">
        <v>43888</v>
      </c>
      <c r="C488" s="46">
        <v>72.769997000000004</v>
      </c>
      <c r="D488" s="55">
        <f t="shared" si="14"/>
        <v>-6.477317991962922E-2</v>
      </c>
      <c r="F488" s="60">
        <v>43888</v>
      </c>
      <c r="G488" s="47">
        <v>63.909283000000002</v>
      </c>
      <c r="H488" s="55">
        <f t="shared" si="15"/>
        <v>-4.3552592918202036E-2</v>
      </c>
    </row>
    <row r="489" spans="2:8">
      <c r="B489" s="54">
        <v>43889</v>
      </c>
      <c r="C489" s="46">
        <v>69.519997000000004</v>
      </c>
      <c r="D489" s="55">
        <f t="shared" si="14"/>
        <v>-4.4661263350058954E-2</v>
      </c>
      <c r="F489" s="60">
        <v>43889</v>
      </c>
      <c r="G489" s="47">
        <v>63.481330999999997</v>
      </c>
      <c r="H489" s="55">
        <f t="shared" si="15"/>
        <v>-6.6962416085939308E-3</v>
      </c>
    </row>
    <row r="490" spans="2:8">
      <c r="B490" s="54">
        <v>43892</v>
      </c>
      <c r="C490" s="46">
        <v>72.680000000000007</v>
      </c>
      <c r="D490" s="55">
        <f t="shared" si="14"/>
        <v>4.5454590569099174E-2</v>
      </c>
      <c r="F490" s="60">
        <v>43892</v>
      </c>
      <c r="G490" s="47">
        <v>66.210792999999995</v>
      </c>
      <c r="H490" s="55">
        <f t="shared" si="15"/>
        <v>4.2996294453876496E-2</v>
      </c>
    </row>
    <row r="491" spans="2:8">
      <c r="B491" s="54">
        <v>43893</v>
      </c>
      <c r="C491" s="46">
        <v>69.059997999999993</v>
      </c>
      <c r="D491" s="55">
        <f t="shared" si="14"/>
        <v>-4.9807402311502658E-2</v>
      </c>
      <c r="F491" s="60">
        <v>43893</v>
      </c>
      <c r="G491" s="47">
        <v>64.413345000000007</v>
      </c>
      <c r="H491" s="55">
        <f t="shared" si="15"/>
        <v>-2.7147356474041758E-2</v>
      </c>
    </row>
    <row r="492" spans="2:8">
      <c r="B492" s="54">
        <v>43894</v>
      </c>
      <c r="C492" s="46">
        <v>73.629997000000003</v>
      </c>
      <c r="D492" s="55">
        <f t="shared" si="14"/>
        <v>6.61743285888889E-2</v>
      </c>
      <c r="F492" s="60">
        <v>43894</v>
      </c>
      <c r="G492" s="47">
        <v>66.924064999999999</v>
      </c>
      <c r="H492" s="55">
        <f t="shared" si="15"/>
        <v>3.8978258309671575E-2</v>
      </c>
    </row>
    <row r="493" spans="2:8">
      <c r="B493" s="54">
        <v>43895</v>
      </c>
      <c r="C493" s="46">
        <v>68.949996999999996</v>
      </c>
      <c r="D493" s="55">
        <f t="shared" si="14"/>
        <v>-6.3561051075419803E-2</v>
      </c>
      <c r="F493" s="60">
        <v>43895</v>
      </c>
      <c r="G493" s="47">
        <v>64.765227999999993</v>
      </c>
      <c r="H493" s="55">
        <f t="shared" si="15"/>
        <v>-3.2258007638956261E-2</v>
      </c>
    </row>
    <row r="494" spans="2:8">
      <c r="B494" s="54">
        <v>43896</v>
      </c>
      <c r="C494" s="46">
        <v>66.150002000000001</v>
      </c>
      <c r="D494" s="55">
        <f t="shared" si="14"/>
        <v>-4.0609066306413262E-2</v>
      </c>
      <c r="F494" s="60">
        <v>43896</v>
      </c>
      <c r="G494" s="47">
        <v>63.604958000000003</v>
      </c>
      <c r="H494" s="55">
        <f t="shared" si="15"/>
        <v>-1.7915014519828295E-2</v>
      </c>
    </row>
    <row r="495" spans="2:8">
      <c r="B495" s="54">
        <v>43899</v>
      </c>
      <c r="C495" s="46">
        <v>54.84</v>
      </c>
      <c r="D495" s="55">
        <f t="shared" si="14"/>
        <v>-0.17097508175434367</v>
      </c>
      <c r="F495" s="60">
        <v>43899</v>
      </c>
      <c r="G495" s="47">
        <v>58.526454999999999</v>
      </c>
      <c r="H495" s="55">
        <f t="shared" si="15"/>
        <v>-7.9844451748557158E-2</v>
      </c>
    </row>
    <row r="496" spans="2:8">
      <c r="B496" s="54">
        <v>43900</v>
      </c>
      <c r="C496" s="46">
        <v>59.119999</v>
      </c>
      <c r="D496" s="55">
        <f t="shared" si="14"/>
        <v>7.8045204230488621E-2</v>
      </c>
      <c r="F496" s="60">
        <v>43900</v>
      </c>
      <c r="G496" s="47">
        <v>61.217875999999997</v>
      </c>
      <c r="H496" s="55">
        <f t="shared" si="15"/>
        <v>4.5986400508966387E-2</v>
      </c>
    </row>
    <row r="497" spans="2:8">
      <c r="B497" s="54">
        <v>43901</v>
      </c>
      <c r="C497" s="46">
        <v>54.330002</v>
      </c>
      <c r="D497" s="55">
        <f t="shared" si="14"/>
        <v>-8.1021601505778099E-2</v>
      </c>
      <c r="F497" s="60">
        <v>43901</v>
      </c>
      <c r="G497" s="47">
        <v>58.203105999999998</v>
      </c>
      <c r="H497" s="55">
        <f t="shared" si="15"/>
        <v>-4.9246563209739566E-2</v>
      </c>
    </row>
    <row r="498" spans="2:8">
      <c r="B498" s="54">
        <v>43902</v>
      </c>
      <c r="C498" s="46">
        <v>52.810001</v>
      </c>
      <c r="D498" s="55">
        <f t="shared" si="14"/>
        <v>-2.7977193890035206E-2</v>
      </c>
      <c r="F498" s="60">
        <v>43902</v>
      </c>
      <c r="G498" s="47">
        <v>52.715656000000003</v>
      </c>
      <c r="H498" s="55">
        <f t="shared" si="15"/>
        <v>-9.428105091161279E-2</v>
      </c>
    </row>
    <row r="499" spans="2:8">
      <c r="B499" s="54">
        <v>43903</v>
      </c>
      <c r="C499" s="46">
        <v>54.330002</v>
      </c>
      <c r="D499" s="55">
        <f t="shared" si="14"/>
        <v>2.8782445961324649E-2</v>
      </c>
      <c r="F499" s="60">
        <v>43903</v>
      </c>
      <c r="G499" s="47">
        <v>57.442272000000003</v>
      </c>
      <c r="H499" s="55">
        <f t="shared" si="15"/>
        <v>8.9662471429739959E-2</v>
      </c>
    </row>
    <row r="500" spans="2:8">
      <c r="B500" s="54">
        <v>43906</v>
      </c>
      <c r="C500" s="46">
        <v>44.98</v>
      </c>
      <c r="D500" s="55">
        <f t="shared" si="14"/>
        <v>-0.17209647811167031</v>
      </c>
      <c r="F500" s="60">
        <v>43906</v>
      </c>
      <c r="G500" s="47">
        <v>50.794575000000002</v>
      </c>
      <c r="H500" s="55">
        <f t="shared" si="15"/>
        <v>-0.11572830893596968</v>
      </c>
    </row>
    <row r="501" spans="2:8">
      <c r="B501" s="54">
        <v>43907</v>
      </c>
      <c r="C501" s="46">
        <v>47.169998</v>
      </c>
      <c r="D501" s="55">
        <f t="shared" si="14"/>
        <v>4.8688261449533192E-2</v>
      </c>
      <c r="F501" s="60">
        <v>43907</v>
      </c>
      <c r="G501" s="47">
        <v>53.543049000000003</v>
      </c>
      <c r="H501" s="55">
        <f t="shared" si="15"/>
        <v>5.4109597333967287E-2</v>
      </c>
    </row>
    <row r="502" spans="2:8">
      <c r="B502" s="54">
        <v>43908</v>
      </c>
      <c r="C502" s="46">
        <v>31.360001</v>
      </c>
      <c r="D502" s="55">
        <f t="shared" si="14"/>
        <v>-0.33517060992879411</v>
      </c>
      <c r="F502" s="60">
        <v>43908</v>
      </c>
      <c r="G502" s="47">
        <v>50.480727999999999</v>
      </c>
      <c r="H502" s="55">
        <f t="shared" si="15"/>
        <v>-5.7193623769912771E-2</v>
      </c>
    </row>
    <row r="503" spans="2:8">
      <c r="B503" s="54">
        <v>43909</v>
      </c>
      <c r="C503" s="46">
        <v>38.880001</v>
      </c>
      <c r="D503" s="55">
        <f t="shared" si="14"/>
        <v>0.23979591072079365</v>
      </c>
      <c r="F503" s="60">
        <v>43909</v>
      </c>
      <c r="G503" s="47">
        <v>50.461708000000002</v>
      </c>
      <c r="H503" s="55">
        <f t="shared" si="15"/>
        <v>-3.7677745059456341E-4</v>
      </c>
    </row>
    <row r="504" spans="2:8">
      <c r="B504" s="54">
        <v>43910</v>
      </c>
      <c r="C504" s="46">
        <v>41.630001</v>
      </c>
      <c r="D504" s="55">
        <f t="shared" si="14"/>
        <v>7.0730450855698276E-2</v>
      </c>
      <c r="F504" s="60">
        <v>43910</v>
      </c>
      <c r="G504" s="47">
        <v>48.445529999999998</v>
      </c>
      <c r="H504" s="55">
        <f t="shared" si="15"/>
        <v>-3.9954612713465891E-2</v>
      </c>
    </row>
    <row r="505" spans="2:8">
      <c r="B505" s="54">
        <v>43913</v>
      </c>
      <c r="C505" s="46">
        <v>39.68</v>
      </c>
      <c r="D505" s="55">
        <f t="shared" si="14"/>
        <v>-4.6841243169799596E-2</v>
      </c>
      <c r="F505" s="60">
        <v>43913</v>
      </c>
      <c r="G505" s="47">
        <v>47.237717000000004</v>
      </c>
      <c r="H505" s="55">
        <f t="shared" si="15"/>
        <v>-2.4931361056427591E-2</v>
      </c>
    </row>
    <row r="506" spans="2:8">
      <c r="B506" s="54">
        <v>43914</v>
      </c>
      <c r="C506" s="46">
        <v>46.099997999999999</v>
      </c>
      <c r="D506" s="55">
        <f t="shared" si="14"/>
        <v>0.16179430443548387</v>
      </c>
      <c r="F506" s="60">
        <v>43914</v>
      </c>
      <c r="G506" s="47">
        <v>51.583931</v>
      </c>
      <c r="H506" s="55">
        <f t="shared" si="15"/>
        <v>9.200728307847722E-2</v>
      </c>
    </row>
    <row r="507" spans="2:8">
      <c r="B507" s="54">
        <v>43915</v>
      </c>
      <c r="C507" s="46">
        <v>47.240001999999997</v>
      </c>
      <c r="D507" s="55">
        <f t="shared" si="14"/>
        <v>2.4728938166114402E-2</v>
      </c>
      <c r="F507" s="60">
        <v>43915</v>
      </c>
      <c r="G507" s="47">
        <v>52.500515</v>
      </c>
      <c r="H507" s="55">
        <f t="shared" si="15"/>
        <v>1.7768789276645092E-2</v>
      </c>
    </row>
    <row r="508" spans="2:8">
      <c r="B508" s="54">
        <v>43916</v>
      </c>
      <c r="C508" s="46">
        <v>52</v>
      </c>
      <c r="D508" s="55">
        <f t="shared" si="14"/>
        <v>0.10076201944275961</v>
      </c>
      <c r="F508" s="60">
        <v>43916</v>
      </c>
      <c r="G508" s="47">
        <v>55.549422999999997</v>
      </c>
      <c r="H508" s="55">
        <f t="shared" si="15"/>
        <v>5.8073868418243087E-2</v>
      </c>
    </row>
    <row r="509" spans="2:8">
      <c r="B509" s="54">
        <v>43917</v>
      </c>
      <c r="C509" s="46">
        <v>50.279998999999997</v>
      </c>
      <c r="D509" s="55">
        <f t="shared" si="14"/>
        <v>-3.3076942307692377E-2</v>
      </c>
      <c r="F509" s="60">
        <v>43917</v>
      </c>
      <c r="G509" s="47">
        <v>53.848151999999999</v>
      </c>
      <c r="H509" s="55">
        <f t="shared" si="15"/>
        <v>-3.0626258710193956E-2</v>
      </c>
    </row>
    <row r="510" spans="2:8">
      <c r="B510" s="54">
        <v>43920</v>
      </c>
      <c r="C510" s="46">
        <v>49.990001999999997</v>
      </c>
      <c r="D510" s="55">
        <f t="shared" si="14"/>
        <v>-5.7676413239387625E-3</v>
      </c>
      <c r="F510" s="60">
        <v>43920</v>
      </c>
      <c r="G510" s="47">
        <v>55.520752000000002</v>
      </c>
      <c r="H510" s="55">
        <f t="shared" si="15"/>
        <v>3.1061418783693874E-2</v>
      </c>
    </row>
    <row r="511" spans="2:8">
      <c r="B511" s="54">
        <v>43921</v>
      </c>
      <c r="C511" s="46">
        <v>51.34</v>
      </c>
      <c r="D511" s="55">
        <f t="shared" si="14"/>
        <v>2.7005359991784088E-2</v>
      </c>
      <c r="F511" s="60">
        <v>43921</v>
      </c>
      <c r="G511" s="47">
        <v>54.679671999999997</v>
      </c>
      <c r="H511" s="55">
        <f t="shared" si="15"/>
        <v>-1.5148930259446147E-2</v>
      </c>
    </row>
    <row r="512" spans="2:8">
      <c r="B512" s="54">
        <v>43922</v>
      </c>
      <c r="C512" s="46">
        <v>45.91</v>
      </c>
      <c r="D512" s="55">
        <f t="shared" si="14"/>
        <v>-0.10576548500194792</v>
      </c>
      <c r="F512" s="60">
        <v>43922</v>
      </c>
      <c r="G512" s="47">
        <v>52.079971</v>
      </c>
      <c r="H512" s="55">
        <f t="shared" si="15"/>
        <v>-4.7544195217557199E-2</v>
      </c>
    </row>
    <row r="513" spans="2:8">
      <c r="B513" s="54">
        <v>43923</v>
      </c>
      <c r="C513" s="46">
        <v>48.57</v>
      </c>
      <c r="D513" s="55">
        <f t="shared" si="14"/>
        <v>5.7939446743628921E-2</v>
      </c>
      <c r="F513" s="60">
        <v>43923</v>
      </c>
      <c r="G513" s="47">
        <v>53.246017000000002</v>
      </c>
      <c r="H513" s="55">
        <f t="shared" si="15"/>
        <v>2.2389528596319715E-2</v>
      </c>
    </row>
    <row r="514" spans="2:8">
      <c r="B514" s="54">
        <v>43924</v>
      </c>
      <c r="C514" s="46">
        <v>45.759998000000003</v>
      </c>
      <c r="D514" s="55">
        <f t="shared" si="14"/>
        <v>-5.7854683961292924E-2</v>
      </c>
      <c r="F514" s="60">
        <v>43924</v>
      </c>
      <c r="G514" s="47">
        <v>52.252018</v>
      </c>
      <c r="H514" s="55">
        <f t="shared" si="15"/>
        <v>-1.866804422197443E-2</v>
      </c>
    </row>
    <row r="515" spans="2:8">
      <c r="B515" s="54">
        <v>43927</v>
      </c>
      <c r="C515" s="46">
        <v>47.639999000000003</v>
      </c>
      <c r="D515" s="55">
        <f t="shared" si="14"/>
        <v>4.1083939732689673E-2</v>
      </c>
      <c r="F515" s="60">
        <v>43927</v>
      </c>
      <c r="G515" s="47">
        <v>55.998638</v>
      </c>
      <c r="H515" s="55">
        <f t="shared" si="15"/>
        <v>7.1702876623827239E-2</v>
      </c>
    </row>
    <row r="516" spans="2:8">
      <c r="B516" s="54">
        <v>43928</v>
      </c>
      <c r="C516" s="46">
        <v>50.220001000000003</v>
      </c>
      <c r="D516" s="55">
        <f t="shared" si="14"/>
        <v>5.4156214402943215E-2</v>
      </c>
      <c r="F516" s="60">
        <v>43928</v>
      </c>
      <c r="G516" s="47">
        <v>55.998638</v>
      </c>
      <c r="H516" s="55">
        <f t="shared" si="15"/>
        <v>0</v>
      </c>
    </row>
    <row r="517" spans="2:8">
      <c r="B517" s="54">
        <v>43929</v>
      </c>
      <c r="C517" s="46">
        <v>52.509998000000003</v>
      </c>
      <c r="D517" s="55">
        <f t="shared" si="14"/>
        <v>4.5599302158516472E-2</v>
      </c>
      <c r="F517" s="60">
        <v>43929</v>
      </c>
      <c r="G517" s="47">
        <v>58.015312000000002</v>
      </c>
      <c r="H517" s="55">
        <f t="shared" si="15"/>
        <v>3.6012911599742868E-2</v>
      </c>
    </row>
    <row r="518" spans="2:8">
      <c r="B518" s="54">
        <v>43930</v>
      </c>
      <c r="C518" s="46">
        <v>56.580002</v>
      </c>
      <c r="D518" s="55">
        <f t="shared" ref="D518:D581" si="16">(C518-C517)/C517</f>
        <v>7.7509125024152484E-2</v>
      </c>
      <c r="F518" s="60">
        <v>43930</v>
      </c>
      <c r="G518" s="47">
        <v>59.028435000000002</v>
      </c>
      <c r="H518" s="55">
        <f t="shared" ref="H518:H581" si="17">(G518-G517)/G517</f>
        <v>1.7463027691723872E-2</v>
      </c>
    </row>
    <row r="519" spans="2:8">
      <c r="B519" s="54">
        <v>43934</v>
      </c>
      <c r="C519" s="46">
        <v>52.740001999999997</v>
      </c>
      <c r="D519" s="55">
        <f t="shared" si="16"/>
        <v>-6.7868502372976286E-2</v>
      </c>
      <c r="F519" s="60">
        <v>43934</v>
      </c>
      <c r="G519" s="47">
        <v>58.359394000000002</v>
      </c>
      <c r="H519" s="55">
        <f t="shared" si="17"/>
        <v>-1.133421545057056E-2</v>
      </c>
    </row>
    <row r="520" spans="2:8">
      <c r="B520" s="54">
        <v>43935</v>
      </c>
      <c r="C520" s="46">
        <v>54.349997999999999</v>
      </c>
      <c r="D520" s="55">
        <f t="shared" si="16"/>
        <v>3.0527037143457114E-2</v>
      </c>
      <c r="F520" s="60">
        <v>43935</v>
      </c>
      <c r="G520" s="47">
        <v>60.08934</v>
      </c>
      <c r="H520" s="55">
        <f t="shared" si="17"/>
        <v>2.9642974017173623E-2</v>
      </c>
    </row>
    <row r="521" spans="2:8">
      <c r="B521" s="54">
        <v>43936</v>
      </c>
      <c r="C521" s="46">
        <v>51</v>
      </c>
      <c r="D521" s="55">
        <f t="shared" si="16"/>
        <v>-6.1637499968261254E-2</v>
      </c>
      <c r="F521" s="60">
        <v>43936</v>
      </c>
      <c r="G521" s="47">
        <v>58.789485999999997</v>
      </c>
      <c r="H521" s="55">
        <f t="shared" si="17"/>
        <v>-2.1632023250713079E-2</v>
      </c>
    </row>
    <row r="522" spans="2:8">
      <c r="B522" s="54">
        <v>43937</v>
      </c>
      <c r="C522" s="46">
        <v>49.869999</v>
      </c>
      <c r="D522" s="55">
        <f t="shared" si="16"/>
        <v>-2.2156882352941176E-2</v>
      </c>
      <c r="F522" s="60">
        <v>43937</v>
      </c>
      <c r="G522" s="47">
        <v>58.980643999999998</v>
      </c>
      <c r="H522" s="55">
        <f t="shared" si="17"/>
        <v>3.2515678058488468E-3</v>
      </c>
    </row>
    <row r="523" spans="2:8">
      <c r="B523" s="54">
        <v>43938</v>
      </c>
      <c r="C523" s="46">
        <v>53.560001</v>
      </c>
      <c r="D523" s="55">
        <f t="shared" si="16"/>
        <v>7.399242177646724E-2</v>
      </c>
      <c r="F523" s="60">
        <v>43938</v>
      </c>
      <c r="G523" s="47">
        <v>60.739261999999997</v>
      </c>
      <c r="H523" s="55">
        <f t="shared" si="17"/>
        <v>2.9816866699522618E-2</v>
      </c>
    </row>
    <row r="524" spans="2:8">
      <c r="B524" s="54">
        <v>43941</v>
      </c>
      <c r="C524" s="46">
        <v>48.619999</v>
      </c>
      <c r="D524" s="55">
        <f t="shared" si="16"/>
        <v>-9.2233045327986457E-2</v>
      </c>
      <c r="F524" s="60">
        <v>43941</v>
      </c>
      <c r="G524" s="47">
        <v>59.697463999999997</v>
      </c>
      <c r="H524" s="55">
        <f t="shared" si="17"/>
        <v>-1.7151970005825887E-2</v>
      </c>
    </row>
    <row r="525" spans="2:8">
      <c r="B525" s="54">
        <v>43942</v>
      </c>
      <c r="C525" s="46">
        <v>46.889999000000003</v>
      </c>
      <c r="D525" s="55">
        <f t="shared" si="16"/>
        <v>-3.5582065725669736E-2</v>
      </c>
      <c r="F525" s="60">
        <v>43942</v>
      </c>
      <c r="G525" s="47">
        <v>57.814594</v>
      </c>
      <c r="H525" s="55">
        <f t="shared" si="17"/>
        <v>-3.1540200769667487E-2</v>
      </c>
    </row>
    <row r="526" spans="2:8">
      <c r="B526" s="54">
        <v>43943</v>
      </c>
      <c r="C526" s="46">
        <v>47.939999</v>
      </c>
      <c r="D526" s="55">
        <f t="shared" si="16"/>
        <v>2.2392834770587157E-2</v>
      </c>
      <c r="F526" s="60">
        <v>43943</v>
      </c>
      <c r="G526" s="47">
        <v>59.152678999999999</v>
      </c>
      <c r="H526" s="55">
        <f t="shared" si="17"/>
        <v>2.3144415750805059E-2</v>
      </c>
    </row>
    <row r="527" spans="2:8">
      <c r="B527" s="54">
        <v>43944</v>
      </c>
      <c r="C527" s="46">
        <v>50.029998999999997</v>
      </c>
      <c r="D527" s="55">
        <f t="shared" si="16"/>
        <v>4.3596162778392969E-2</v>
      </c>
      <c r="F527" s="60">
        <v>43944</v>
      </c>
      <c r="G527" s="47">
        <v>59.104892999999997</v>
      </c>
      <c r="H527" s="55">
        <f t="shared" si="17"/>
        <v>-8.0784168710266026E-4</v>
      </c>
    </row>
    <row r="528" spans="2:8">
      <c r="B528" s="54">
        <v>43945</v>
      </c>
      <c r="C528" s="46">
        <v>50.630001</v>
      </c>
      <c r="D528" s="55">
        <f t="shared" si="16"/>
        <v>1.1992844533137079E-2</v>
      </c>
      <c r="F528" s="60">
        <v>43945</v>
      </c>
      <c r="G528" s="47">
        <v>60.022433999999997</v>
      </c>
      <c r="H528" s="55">
        <f t="shared" si="17"/>
        <v>1.5523943169984251E-2</v>
      </c>
    </row>
    <row r="529" spans="2:8">
      <c r="B529" s="54">
        <v>43948</v>
      </c>
      <c r="C529" s="46">
        <v>55.110000999999997</v>
      </c>
      <c r="D529" s="55">
        <f t="shared" si="16"/>
        <v>8.8485086144872813E-2</v>
      </c>
      <c r="F529" s="60">
        <v>43948</v>
      </c>
      <c r="G529" s="47">
        <v>61.08334</v>
      </c>
      <c r="H529" s="55">
        <f t="shared" si="17"/>
        <v>1.7675157925118513E-2</v>
      </c>
    </row>
    <row r="530" spans="2:8">
      <c r="B530" s="54">
        <v>43949</v>
      </c>
      <c r="C530" s="46">
        <v>56.310001</v>
      </c>
      <c r="D530" s="55">
        <f t="shared" si="16"/>
        <v>2.177463215796354E-2</v>
      </c>
      <c r="F530" s="60">
        <v>43949</v>
      </c>
      <c r="G530" s="47">
        <v>60.911296999999998</v>
      </c>
      <c r="H530" s="55">
        <f t="shared" si="17"/>
        <v>-2.8165290241169223E-3</v>
      </c>
    </row>
    <row r="531" spans="2:8">
      <c r="B531" s="54">
        <v>43950</v>
      </c>
      <c r="C531" s="46">
        <v>58.029998999999997</v>
      </c>
      <c r="D531" s="55">
        <f t="shared" si="16"/>
        <v>3.0545160175010418E-2</v>
      </c>
      <c r="F531" s="60">
        <v>43950</v>
      </c>
      <c r="G531" s="47">
        <v>62.689033999999999</v>
      </c>
      <c r="H531" s="55">
        <f t="shared" si="17"/>
        <v>2.9185669778136591E-2</v>
      </c>
    </row>
    <row r="532" spans="2:8">
      <c r="B532" s="54">
        <v>43951</v>
      </c>
      <c r="C532" s="46">
        <v>53.43</v>
      </c>
      <c r="D532" s="55">
        <f t="shared" si="16"/>
        <v>-7.9269327576586668E-2</v>
      </c>
      <c r="F532" s="60">
        <v>43951</v>
      </c>
      <c r="G532" s="47">
        <v>61.895741000000001</v>
      </c>
      <c r="H532" s="55">
        <f t="shared" si="17"/>
        <v>-1.2654414167555979E-2</v>
      </c>
    </row>
    <row r="533" spans="2:8">
      <c r="B533" s="54">
        <v>43952</v>
      </c>
      <c r="C533" s="46">
        <v>51.619999</v>
      </c>
      <c r="D533" s="55">
        <f t="shared" si="16"/>
        <v>-3.3876118285607333E-2</v>
      </c>
      <c r="F533" s="60">
        <v>43952</v>
      </c>
      <c r="G533" s="47">
        <v>60.184916999999999</v>
      </c>
      <c r="H533" s="55">
        <f t="shared" si="17"/>
        <v>-2.7640415517442507E-2</v>
      </c>
    </row>
    <row r="534" spans="2:8">
      <c r="B534" s="54">
        <v>43955</v>
      </c>
      <c r="C534" s="46">
        <v>51.349997999999999</v>
      </c>
      <c r="D534" s="55">
        <f t="shared" si="16"/>
        <v>-5.2305502756790174E-3</v>
      </c>
      <c r="F534" s="60">
        <v>43955</v>
      </c>
      <c r="G534" s="47">
        <v>60.337845000000002</v>
      </c>
      <c r="H534" s="55">
        <f t="shared" si="17"/>
        <v>2.5409688610188302E-3</v>
      </c>
    </row>
    <row r="535" spans="2:8">
      <c r="B535" s="54">
        <v>43956</v>
      </c>
      <c r="C535" s="46">
        <v>50.490001999999997</v>
      </c>
      <c r="D535" s="55">
        <f t="shared" si="16"/>
        <v>-1.6747731908382985E-2</v>
      </c>
      <c r="F535" s="60">
        <v>43956</v>
      </c>
      <c r="G535" s="47">
        <v>60.882629000000001</v>
      </c>
      <c r="H535" s="55">
        <f t="shared" si="17"/>
        <v>9.0288938890674651E-3</v>
      </c>
    </row>
    <row r="536" spans="2:8">
      <c r="B536" s="54">
        <v>43957</v>
      </c>
      <c r="C536" s="46">
        <v>49.830002</v>
      </c>
      <c r="D536" s="55">
        <f t="shared" si="16"/>
        <v>-1.3071894907035191E-2</v>
      </c>
      <c r="F536" s="60">
        <v>43957</v>
      </c>
      <c r="G536" s="47">
        <v>60.586334000000001</v>
      </c>
      <c r="H536" s="55">
        <f t="shared" si="17"/>
        <v>-4.8666590925303278E-3</v>
      </c>
    </row>
    <row r="537" spans="2:8">
      <c r="B537" s="54">
        <v>43958</v>
      </c>
      <c r="C537" s="46">
        <v>52</v>
      </c>
      <c r="D537" s="55">
        <f t="shared" si="16"/>
        <v>4.3548021531285501E-2</v>
      </c>
      <c r="F537" s="60">
        <v>43958</v>
      </c>
      <c r="G537" s="47">
        <v>61.322280999999997</v>
      </c>
      <c r="H537" s="55">
        <f t="shared" si="17"/>
        <v>1.21470792406749E-2</v>
      </c>
    </row>
    <row r="538" spans="2:8">
      <c r="B538" s="54">
        <v>43959</v>
      </c>
      <c r="C538" s="46">
        <v>53.380001</v>
      </c>
      <c r="D538" s="55">
        <f t="shared" si="16"/>
        <v>2.6538480769230769E-2</v>
      </c>
      <c r="F538" s="60">
        <v>43959</v>
      </c>
      <c r="G538" s="47">
        <v>62.52655</v>
      </c>
      <c r="H538" s="55">
        <f t="shared" si="17"/>
        <v>1.963835950590298E-2</v>
      </c>
    </row>
    <row r="539" spans="2:8">
      <c r="B539" s="54">
        <v>43962</v>
      </c>
      <c r="C539" s="46">
        <v>52.290000999999997</v>
      </c>
      <c r="D539" s="55">
        <f t="shared" si="16"/>
        <v>-2.0419632438748052E-2</v>
      </c>
      <c r="F539" s="60">
        <v>43962</v>
      </c>
      <c r="G539" s="47">
        <v>62.469214999999998</v>
      </c>
      <c r="H539" s="55">
        <f t="shared" si="17"/>
        <v>-9.1697047094397362E-4</v>
      </c>
    </row>
    <row r="540" spans="2:8">
      <c r="B540" s="54">
        <v>43963</v>
      </c>
      <c r="C540" s="46">
        <v>49.209999000000003</v>
      </c>
      <c r="D540" s="55">
        <f t="shared" si="16"/>
        <v>-5.890231289152191E-2</v>
      </c>
      <c r="F540" s="60">
        <v>43963</v>
      </c>
      <c r="G540" s="47">
        <v>61.045113000000001</v>
      </c>
      <c r="H540" s="55">
        <f t="shared" si="17"/>
        <v>-2.2796860821766334E-2</v>
      </c>
    </row>
    <row r="541" spans="2:8">
      <c r="B541" s="54">
        <v>43964</v>
      </c>
      <c r="C541" s="46">
        <v>46.290000999999997</v>
      </c>
      <c r="D541" s="55">
        <f t="shared" si="16"/>
        <v>-5.933749358539931E-2</v>
      </c>
      <c r="F541" s="60">
        <v>43964</v>
      </c>
      <c r="G541" s="47">
        <v>59.955523999999997</v>
      </c>
      <c r="H541" s="55">
        <f t="shared" si="17"/>
        <v>-1.7848914457738882E-2</v>
      </c>
    </row>
    <row r="542" spans="2:8">
      <c r="B542" s="54">
        <v>43965</v>
      </c>
      <c r="C542" s="46">
        <v>49.549999</v>
      </c>
      <c r="D542" s="55">
        <f t="shared" si="16"/>
        <v>7.0425533151317138E-2</v>
      </c>
      <c r="F542" s="60">
        <v>43965</v>
      </c>
      <c r="G542" s="47">
        <v>60.605452999999997</v>
      </c>
      <c r="H542" s="55">
        <f t="shared" si="17"/>
        <v>1.0840185468148026E-2</v>
      </c>
    </row>
    <row r="543" spans="2:8">
      <c r="B543" s="54">
        <v>43966</v>
      </c>
      <c r="C543" s="46">
        <v>49.599997999999999</v>
      </c>
      <c r="D543" s="55">
        <f t="shared" si="16"/>
        <v>1.0090615743503786E-3</v>
      </c>
      <c r="F543" s="60">
        <v>43966</v>
      </c>
      <c r="G543" s="47">
        <v>60.920859999999998</v>
      </c>
      <c r="H543" s="55">
        <f t="shared" si="17"/>
        <v>5.2042676753855871E-3</v>
      </c>
    </row>
    <row r="544" spans="2:8">
      <c r="B544" s="54">
        <v>43969</v>
      </c>
      <c r="C544" s="46">
        <v>54.5</v>
      </c>
      <c r="D544" s="55">
        <f t="shared" si="16"/>
        <v>9.879036688670835E-2</v>
      </c>
      <c r="F544" s="60">
        <v>43969</v>
      </c>
      <c r="G544" s="47">
        <v>63.004432999999999</v>
      </c>
      <c r="H544" s="55">
        <f t="shared" si="17"/>
        <v>3.4201306416225923E-2</v>
      </c>
    </row>
    <row r="545" spans="2:8">
      <c r="B545" s="54">
        <v>43970</v>
      </c>
      <c r="C545" s="46">
        <v>55.939999</v>
      </c>
      <c r="D545" s="55">
        <f t="shared" si="16"/>
        <v>2.6422000000000005E-2</v>
      </c>
      <c r="F545" s="60">
        <v>43970</v>
      </c>
      <c r="G545" s="47">
        <v>62.316273000000002</v>
      </c>
      <c r="H545" s="55">
        <f t="shared" si="17"/>
        <v>-1.0922406047206176E-2</v>
      </c>
    </row>
    <row r="546" spans="2:8">
      <c r="B546" s="54">
        <v>43971</v>
      </c>
      <c r="C546" s="46">
        <v>57.830002</v>
      </c>
      <c r="D546" s="55">
        <f t="shared" si="16"/>
        <v>3.3786253732324883E-2</v>
      </c>
      <c r="F546" s="60">
        <v>43971</v>
      </c>
      <c r="G546" s="47">
        <v>63.491878999999997</v>
      </c>
      <c r="H546" s="55">
        <f t="shared" si="17"/>
        <v>1.886515260628624E-2</v>
      </c>
    </row>
    <row r="547" spans="2:8">
      <c r="B547" s="54">
        <v>43972</v>
      </c>
      <c r="C547" s="46">
        <v>57.110000999999997</v>
      </c>
      <c r="D547" s="55">
        <f t="shared" si="16"/>
        <v>-1.2450302180518746E-2</v>
      </c>
      <c r="F547" s="60">
        <v>43972</v>
      </c>
      <c r="G547" s="47">
        <v>63.100017999999999</v>
      </c>
      <c r="H547" s="55">
        <f t="shared" si="17"/>
        <v>-6.1718286837911772E-3</v>
      </c>
    </row>
    <row r="548" spans="2:8">
      <c r="B548" s="54">
        <v>43973</v>
      </c>
      <c r="C548" s="46">
        <v>57.450001</v>
      </c>
      <c r="D548" s="55">
        <f t="shared" si="16"/>
        <v>5.9534231141057667E-3</v>
      </c>
      <c r="F548" s="60">
        <v>43973</v>
      </c>
      <c r="G548" s="47">
        <v>63.243374000000003</v>
      </c>
      <c r="H548" s="55">
        <f t="shared" si="17"/>
        <v>2.271885247322818E-3</v>
      </c>
    </row>
    <row r="549" spans="2:8">
      <c r="B549" s="54">
        <v>43977</v>
      </c>
      <c r="C549" s="46">
        <v>60.290000999999997</v>
      </c>
      <c r="D549" s="55">
        <f t="shared" si="16"/>
        <v>4.9434289827079314E-2</v>
      </c>
      <c r="F549" s="60">
        <v>43977</v>
      </c>
      <c r="G549" s="47">
        <v>64.103577000000001</v>
      </c>
      <c r="H549" s="55">
        <f t="shared" si="17"/>
        <v>1.360147230601578E-2</v>
      </c>
    </row>
    <row r="550" spans="2:8">
      <c r="B550" s="54">
        <v>43978</v>
      </c>
      <c r="C550" s="46">
        <v>62.759998000000003</v>
      </c>
      <c r="D550" s="55">
        <f t="shared" si="16"/>
        <v>4.0968601078643314E-2</v>
      </c>
      <c r="F550" s="60">
        <v>43978</v>
      </c>
      <c r="G550" s="47">
        <v>65.193168999999997</v>
      </c>
      <c r="H550" s="55">
        <f t="shared" si="17"/>
        <v>1.6997366621210486E-2</v>
      </c>
    </row>
    <row r="551" spans="2:8">
      <c r="B551" s="54">
        <v>43979</v>
      </c>
      <c r="C551" s="46">
        <v>60.73</v>
      </c>
      <c r="D551" s="55">
        <f t="shared" si="16"/>
        <v>-3.234541212063146E-2</v>
      </c>
      <c r="F551" s="60">
        <v>43979</v>
      </c>
      <c r="G551" s="47">
        <v>64.954207999999994</v>
      </c>
      <c r="H551" s="55">
        <f t="shared" si="17"/>
        <v>-3.6654300391503183E-3</v>
      </c>
    </row>
    <row r="552" spans="2:8">
      <c r="B552" s="54">
        <v>43980</v>
      </c>
      <c r="C552" s="46">
        <v>59.389999000000003</v>
      </c>
      <c r="D552" s="55">
        <f t="shared" si="16"/>
        <v>-2.206489379219486E-2</v>
      </c>
      <c r="F552" s="60">
        <v>43980</v>
      </c>
      <c r="G552" s="47">
        <v>65.135811000000004</v>
      </c>
      <c r="H552" s="55">
        <f t="shared" si="17"/>
        <v>2.7958619709443572E-3</v>
      </c>
    </row>
    <row r="553" spans="2:8">
      <c r="B553" s="54">
        <v>43983</v>
      </c>
      <c r="C553" s="46">
        <v>60.779998999999997</v>
      </c>
      <c r="D553" s="55">
        <f t="shared" si="16"/>
        <v>2.3404613965391605E-2</v>
      </c>
      <c r="F553" s="60">
        <v>43983</v>
      </c>
      <c r="G553" s="47">
        <v>65.556342999999998</v>
      </c>
      <c r="H553" s="55">
        <f t="shared" si="17"/>
        <v>6.4562334228093722E-3</v>
      </c>
    </row>
    <row r="554" spans="2:8">
      <c r="B554" s="54">
        <v>43984</v>
      </c>
      <c r="C554" s="46">
        <v>60.75</v>
      </c>
      <c r="D554" s="55">
        <f t="shared" si="16"/>
        <v>-4.9356697093720842E-4</v>
      </c>
      <c r="F554" s="60">
        <v>43984</v>
      </c>
      <c r="G554" s="47">
        <v>66.101142999999993</v>
      </c>
      <c r="H554" s="55">
        <f t="shared" si="17"/>
        <v>8.3104086510743143E-3</v>
      </c>
    </row>
    <row r="555" spans="2:8">
      <c r="B555" s="54">
        <v>43985</v>
      </c>
      <c r="C555" s="46">
        <v>64.589995999999999</v>
      </c>
      <c r="D555" s="55">
        <f t="shared" si="16"/>
        <v>6.3209810699588462E-2</v>
      </c>
      <c r="F555" s="60">
        <v>43985</v>
      </c>
      <c r="G555" s="47">
        <v>67.142921000000001</v>
      </c>
      <c r="H555" s="55">
        <f t="shared" si="17"/>
        <v>1.5760362872999156E-2</v>
      </c>
    </row>
    <row r="556" spans="2:8">
      <c r="B556" s="54">
        <v>43986</v>
      </c>
      <c r="C556" s="46">
        <v>64.839995999999999</v>
      </c>
      <c r="D556" s="55">
        <f t="shared" si="16"/>
        <v>3.8705684391124595E-3</v>
      </c>
      <c r="F556" s="60">
        <v>43986</v>
      </c>
      <c r="G556" s="47">
        <v>66.884872000000001</v>
      </c>
      <c r="H556" s="55">
        <f t="shared" si="17"/>
        <v>-3.843279323519448E-3</v>
      </c>
    </row>
    <row r="557" spans="2:8">
      <c r="B557" s="54">
        <v>43987</v>
      </c>
      <c r="C557" s="46">
        <v>67.889999000000003</v>
      </c>
      <c r="D557" s="55">
        <f t="shared" si="16"/>
        <v>4.7038914067792412E-2</v>
      </c>
      <c r="F557" s="60">
        <v>43987</v>
      </c>
      <c r="G557" s="47">
        <v>68.681708999999998</v>
      </c>
      <c r="H557" s="55">
        <f t="shared" si="17"/>
        <v>2.686462493342286E-2</v>
      </c>
    </row>
    <row r="558" spans="2:8">
      <c r="B558" s="54">
        <v>43990</v>
      </c>
      <c r="C558" s="46">
        <v>69.480002999999996</v>
      </c>
      <c r="D558" s="55">
        <f t="shared" si="16"/>
        <v>2.3420297885112552E-2</v>
      </c>
      <c r="F558" s="60">
        <v>43990</v>
      </c>
      <c r="G558" s="47">
        <v>69.580153999999993</v>
      </c>
      <c r="H558" s="55">
        <f t="shared" si="17"/>
        <v>1.3081284858534829E-2</v>
      </c>
    </row>
    <row r="559" spans="2:8">
      <c r="B559" s="54">
        <v>43991</v>
      </c>
      <c r="C559" s="46">
        <v>65.5</v>
      </c>
      <c r="D559" s="55">
        <f t="shared" si="16"/>
        <v>-5.7282711976854646E-2</v>
      </c>
      <c r="F559" s="60">
        <v>43991</v>
      </c>
      <c r="G559" s="47">
        <v>68.949341000000004</v>
      </c>
      <c r="H559" s="55">
        <f t="shared" si="17"/>
        <v>-9.0659902822288838E-3</v>
      </c>
    </row>
    <row r="560" spans="2:8">
      <c r="B560" s="54">
        <v>43992</v>
      </c>
      <c r="C560" s="46">
        <v>63</v>
      </c>
      <c r="D560" s="55">
        <f t="shared" si="16"/>
        <v>-3.8167938931297711E-2</v>
      </c>
      <c r="F560" s="60">
        <v>43992</v>
      </c>
      <c r="G560" s="47">
        <v>68.442772000000005</v>
      </c>
      <c r="H560" s="55">
        <f t="shared" si="17"/>
        <v>-7.3469737731068222E-3</v>
      </c>
    </row>
    <row r="561" spans="2:8">
      <c r="B561" s="54">
        <v>43993</v>
      </c>
      <c r="C561" s="46">
        <v>57.279998999999997</v>
      </c>
      <c r="D561" s="55">
        <f t="shared" si="16"/>
        <v>-9.0793666666666717E-2</v>
      </c>
      <c r="F561" s="60">
        <v>43993</v>
      </c>
      <c r="G561" s="47">
        <v>64.466758999999996</v>
      </c>
      <c r="H561" s="55">
        <f t="shared" si="17"/>
        <v>-5.809251852043644E-2</v>
      </c>
    </row>
    <row r="562" spans="2:8">
      <c r="B562" s="54">
        <v>43994</v>
      </c>
      <c r="C562" s="46">
        <v>58.639999000000003</v>
      </c>
      <c r="D562" s="55">
        <f t="shared" si="16"/>
        <v>2.3743017174284634E-2</v>
      </c>
      <c r="F562" s="60">
        <v>43994</v>
      </c>
      <c r="G562" s="47">
        <v>65.183609000000004</v>
      </c>
      <c r="H562" s="55">
        <f t="shared" si="17"/>
        <v>1.1119684177081215E-2</v>
      </c>
    </row>
    <row r="563" spans="2:8">
      <c r="B563" s="54">
        <v>43997</v>
      </c>
      <c r="C563" s="46">
        <v>59.91</v>
      </c>
      <c r="D563" s="55">
        <f t="shared" si="16"/>
        <v>2.1657589046002429E-2</v>
      </c>
      <c r="F563" s="60">
        <v>43997</v>
      </c>
      <c r="G563" s="47">
        <v>65.937873999999994</v>
      </c>
      <c r="H563" s="55">
        <f t="shared" si="17"/>
        <v>1.1571390592993853E-2</v>
      </c>
    </row>
    <row r="564" spans="2:8">
      <c r="B564" s="54">
        <v>43998</v>
      </c>
      <c r="C564" s="46">
        <v>61.959999000000003</v>
      </c>
      <c r="D564" s="55">
        <f t="shared" si="16"/>
        <v>3.4217976965448288E-2</v>
      </c>
      <c r="F564" s="60">
        <v>43998</v>
      </c>
      <c r="G564" s="47">
        <v>67.262198999999995</v>
      </c>
      <c r="H564" s="55">
        <f t="shared" si="17"/>
        <v>2.0084435843351605E-2</v>
      </c>
    </row>
    <row r="565" spans="2:8">
      <c r="B565" s="54">
        <v>43999</v>
      </c>
      <c r="C565" s="46">
        <v>61.34</v>
      </c>
      <c r="D565" s="55">
        <f t="shared" si="16"/>
        <v>-1.0006439799974818E-2</v>
      </c>
      <c r="F565" s="60">
        <v>43999</v>
      </c>
      <c r="G565" s="47">
        <v>66.935912999999999</v>
      </c>
      <c r="H565" s="55">
        <f t="shared" si="17"/>
        <v>-4.8509564785414773E-3</v>
      </c>
    </row>
    <row r="566" spans="2:8">
      <c r="B566" s="54">
        <v>44000</v>
      </c>
      <c r="C566" s="46">
        <v>59.799999</v>
      </c>
      <c r="D566" s="55">
        <f t="shared" si="16"/>
        <v>-2.5105983045321221E-2</v>
      </c>
      <c r="F566" s="60">
        <v>44000</v>
      </c>
      <c r="G566" s="47">
        <v>66.993506999999994</v>
      </c>
      <c r="H566" s="55">
        <f t="shared" si="17"/>
        <v>8.6043496560649882E-4</v>
      </c>
    </row>
    <row r="567" spans="2:8">
      <c r="B567" s="54">
        <v>44001</v>
      </c>
      <c r="C567" s="46">
        <v>61.23</v>
      </c>
      <c r="D567" s="55">
        <f t="shared" si="16"/>
        <v>2.3913060600552805E-2</v>
      </c>
      <c r="F567" s="60">
        <v>44001</v>
      </c>
      <c r="G567" s="47">
        <v>66.619231999999997</v>
      </c>
      <c r="H567" s="55">
        <f t="shared" si="17"/>
        <v>-5.5867354428839992E-3</v>
      </c>
    </row>
    <row r="568" spans="2:8">
      <c r="B568" s="54">
        <v>44004</v>
      </c>
      <c r="C568" s="46">
        <v>61.23</v>
      </c>
      <c r="D568" s="55">
        <f t="shared" si="16"/>
        <v>0</v>
      </c>
      <c r="F568" s="60">
        <v>44004</v>
      </c>
      <c r="G568" s="47">
        <v>67.070258999999993</v>
      </c>
      <c r="H568" s="55">
        <f t="shared" si="17"/>
        <v>6.770222148463019E-3</v>
      </c>
    </row>
    <row r="569" spans="2:8">
      <c r="B569" s="54">
        <v>44005</v>
      </c>
      <c r="C569" s="46">
        <v>61.919998</v>
      </c>
      <c r="D569" s="55">
        <f t="shared" si="16"/>
        <v>1.12689531275519E-2</v>
      </c>
      <c r="F569" s="60">
        <v>44005</v>
      </c>
      <c r="G569" s="47">
        <v>67.348572000000004</v>
      </c>
      <c r="H569" s="55">
        <f t="shared" si="17"/>
        <v>4.1495739564687143E-3</v>
      </c>
    </row>
    <row r="570" spans="2:8">
      <c r="B570" s="54">
        <v>44006</v>
      </c>
      <c r="C570" s="46">
        <v>57.799999</v>
      </c>
      <c r="D570" s="55">
        <f t="shared" si="16"/>
        <v>-6.6537453699530152E-2</v>
      </c>
      <c r="F570" s="60">
        <v>44006</v>
      </c>
      <c r="G570" s="47">
        <v>65.496429000000006</v>
      </c>
      <c r="H570" s="55">
        <f t="shared" si="17"/>
        <v>-2.7500850352105432E-2</v>
      </c>
    </row>
    <row r="571" spans="2:8">
      <c r="B571" s="54">
        <v>44007</v>
      </c>
      <c r="C571" s="46">
        <v>58.549999</v>
      </c>
      <c r="D571" s="55">
        <f t="shared" si="16"/>
        <v>1.2975778771207246E-2</v>
      </c>
      <c r="F571" s="60">
        <v>44007</v>
      </c>
      <c r="G571" s="47">
        <v>66.312149000000005</v>
      </c>
      <c r="H571" s="55">
        <f t="shared" si="17"/>
        <v>1.2454419461555665E-2</v>
      </c>
    </row>
    <row r="572" spans="2:8">
      <c r="B572" s="54">
        <v>44008</v>
      </c>
      <c r="C572" s="46">
        <v>57.59</v>
      </c>
      <c r="D572" s="55">
        <f t="shared" si="16"/>
        <v>-1.6396225728372706E-2</v>
      </c>
      <c r="F572" s="60">
        <v>44008</v>
      </c>
      <c r="G572" s="47">
        <v>64.747924999999995</v>
      </c>
      <c r="H572" s="55">
        <f t="shared" si="17"/>
        <v>-2.3588799693401732E-2</v>
      </c>
    </row>
    <row r="573" spans="2:8">
      <c r="B573" s="54">
        <v>44011</v>
      </c>
      <c r="C573" s="46">
        <v>59.639999000000003</v>
      </c>
      <c r="D573" s="55">
        <f t="shared" si="16"/>
        <v>3.5596440354228154E-2</v>
      </c>
      <c r="F573" s="60">
        <v>44011</v>
      </c>
      <c r="G573" s="47">
        <v>65.726753000000002</v>
      </c>
      <c r="H573" s="55">
        <f t="shared" si="17"/>
        <v>1.5117519210075184E-2</v>
      </c>
    </row>
    <row r="574" spans="2:8">
      <c r="B574" s="54">
        <v>44012</v>
      </c>
      <c r="C574" s="46">
        <v>59.98</v>
      </c>
      <c r="D574" s="55">
        <f t="shared" si="16"/>
        <v>5.7008887609135235E-3</v>
      </c>
      <c r="F574" s="60">
        <v>44012</v>
      </c>
      <c r="G574" s="47">
        <v>66.638442999999995</v>
      </c>
      <c r="H574" s="55">
        <f t="shared" si="17"/>
        <v>1.3870911894886895E-2</v>
      </c>
    </row>
    <row r="575" spans="2:8">
      <c r="B575" s="54">
        <v>44013</v>
      </c>
      <c r="C575" s="46">
        <v>58.299999</v>
      </c>
      <c r="D575" s="55">
        <f t="shared" si="16"/>
        <v>-2.8009353117705856E-2</v>
      </c>
      <c r="F575" s="60">
        <v>44013</v>
      </c>
      <c r="G575" s="47">
        <v>66.993506999999994</v>
      </c>
      <c r="H575" s="55">
        <f t="shared" si="17"/>
        <v>5.3282157267689877E-3</v>
      </c>
    </row>
    <row r="576" spans="2:8">
      <c r="B576" s="54">
        <v>44014</v>
      </c>
      <c r="C576" s="46">
        <v>58.740001999999997</v>
      </c>
      <c r="D576" s="55">
        <f t="shared" si="16"/>
        <v>7.5472213987516062E-3</v>
      </c>
      <c r="F576" s="60">
        <v>44014</v>
      </c>
      <c r="G576" s="47">
        <v>67.607674000000003</v>
      </c>
      <c r="H576" s="55">
        <f t="shared" si="17"/>
        <v>9.1675600741428429E-3</v>
      </c>
    </row>
    <row r="577" spans="2:8">
      <c r="B577" s="54">
        <v>44018</v>
      </c>
      <c r="C577" s="46">
        <v>59.599997999999999</v>
      </c>
      <c r="D577" s="55">
        <f t="shared" si="16"/>
        <v>1.4640721326499146E-2</v>
      </c>
      <c r="F577" s="60">
        <v>44018</v>
      </c>
      <c r="G577" s="47">
        <v>68.365798999999996</v>
      </c>
      <c r="H577" s="55">
        <f t="shared" si="17"/>
        <v>1.1213593888764648E-2</v>
      </c>
    </row>
    <row r="578" spans="2:8">
      <c r="B578" s="54">
        <v>44019</v>
      </c>
      <c r="C578" s="46">
        <v>57.32</v>
      </c>
      <c r="D578" s="55">
        <f t="shared" si="16"/>
        <v>-3.825500128372486E-2</v>
      </c>
      <c r="F578" s="60">
        <v>44019</v>
      </c>
      <c r="G578" s="47">
        <v>67.636459000000002</v>
      </c>
      <c r="H578" s="55">
        <f t="shared" si="17"/>
        <v>-1.0668199752920221E-2</v>
      </c>
    </row>
    <row r="579" spans="2:8">
      <c r="B579" s="54">
        <v>44020</v>
      </c>
      <c r="C579" s="46">
        <v>57.099997999999999</v>
      </c>
      <c r="D579" s="55">
        <f t="shared" si="16"/>
        <v>-3.8381367759944334E-3</v>
      </c>
      <c r="F579" s="60">
        <v>44020</v>
      </c>
      <c r="G579" s="47">
        <v>68.231468000000007</v>
      </c>
      <c r="H579" s="55">
        <f t="shared" si="17"/>
        <v>8.7971636717410727E-3</v>
      </c>
    </row>
    <row r="580" spans="2:8">
      <c r="B580" s="54">
        <v>44021</v>
      </c>
      <c r="C580" s="46">
        <v>54.990001999999997</v>
      </c>
      <c r="D580" s="55">
        <f t="shared" si="16"/>
        <v>-3.6952645777675902E-2</v>
      </c>
      <c r="F580" s="60">
        <v>44021</v>
      </c>
      <c r="G580" s="47">
        <v>67.828400000000002</v>
      </c>
      <c r="H580" s="55">
        <f t="shared" si="17"/>
        <v>-5.9073622745447101E-3</v>
      </c>
    </row>
    <row r="581" spans="2:8">
      <c r="B581" s="54">
        <v>44022</v>
      </c>
      <c r="C581" s="46">
        <v>55.959999000000003</v>
      </c>
      <c r="D581" s="55">
        <f t="shared" si="16"/>
        <v>1.7639515634133029E-2</v>
      </c>
      <c r="F581" s="60">
        <v>44022</v>
      </c>
      <c r="G581" s="47">
        <v>68.538550999999998</v>
      </c>
      <c r="H581" s="55">
        <f t="shared" si="17"/>
        <v>1.0469817952362081E-2</v>
      </c>
    </row>
    <row r="582" spans="2:8">
      <c r="B582" s="54">
        <v>44025</v>
      </c>
      <c r="C582" s="46">
        <v>56.970001000000003</v>
      </c>
      <c r="D582" s="55">
        <f t="shared" ref="D582:D645" si="18">(C582-C581)/C581</f>
        <v>1.8048642209589745E-2</v>
      </c>
      <c r="F582" s="60">
        <v>44025</v>
      </c>
      <c r="G582" s="47">
        <v>67.751632999999998</v>
      </c>
      <c r="H582" s="55">
        <f t="shared" ref="H582:H645" si="19">(G582-G581)/G581</f>
        <v>-1.1481392421033238E-2</v>
      </c>
    </row>
    <row r="583" spans="2:8">
      <c r="B583" s="54">
        <v>44026</v>
      </c>
      <c r="C583" s="46">
        <v>58.049999</v>
      </c>
      <c r="D583" s="55">
        <f t="shared" si="18"/>
        <v>1.895731053260814E-2</v>
      </c>
      <c r="F583" s="60">
        <v>44026</v>
      </c>
      <c r="G583" s="47">
        <v>68.653701999999996</v>
      </c>
      <c r="H583" s="55">
        <f t="shared" si="19"/>
        <v>1.3314350666647361E-2</v>
      </c>
    </row>
    <row r="584" spans="2:8">
      <c r="B584" s="54">
        <v>44027</v>
      </c>
      <c r="C584" s="46">
        <v>60.130001</v>
      </c>
      <c r="D584" s="55">
        <f t="shared" si="18"/>
        <v>3.5831215087531704E-2</v>
      </c>
      <c r="F584" s="60">
        <v>44027</v>
      </c>
      <c r="G584" s="47">
        <v>69.555801000000002</v>
      </c>
      <c r="H584" s="55">
        <f t="shared" si="19"/>
        <v>1.313984495694066E-2</v>
      </c>
    </row>
    <row r="585" spans="2:8">
      <c r="B585" s="54">
        <v>44028</v>
      </c>
      <c r="C585" s="46">
        <v>60.25</v>
      </c>
      <c r="D585" s="55">
        <f t="shared" si="18"/>
        <v>1.9956593714342357E-3</v>
      </c>
      <c r="F585" s="60">
        <v>44028</v>
      </c>
      <c r="G585" s="47">
        <v>69.267891000000006</v>
      </c>
      <c r="H585" s="55">
        <f t="shared" si="19"/>
        <v>-4.1392665437063481E-3</v>
      </c>
    </row>
    <row r="586" spans="2:8">
      <c r="B586" s="54">
        <v>44029</v>
      </c>
      <c r="C586" s="46">
        <v>59.459999000000003</v>
      </c>
      <c r="D586" s="55">
        <f t="shared" si="18"/>
        <v>-1.3112049792531064E-2</v>
      </c>
      <c r="F586" s="60">
        <v>44029</v>
      </c>
      <c r="G586" s="47">
        <v>69.507805000000005</v>
      </c>
      <c r="H586" s="55">
        <f t="shared" si="19"/>
        <v>3.4635672681300319E-3</v>
      </c>
    </row>
    <row r="587" spans="2:8">
      <c r="B587" s="54">
        <v>44032</v>
      </c>
      <c r="C587" s="46">
        <v>57.900002000000001</v>
      </c>
      <c r="D587" s="55">
        <f t="shared" si="18"/>
        <v>-2.6236075113287551E-2</v>
      </c>
      <c r="F587" s="60">
        <v>44032</v>
      </c>
      <c r="G587" s="47">
        <v>70.064414999999997</v>
      </c>
      <c r="H587" s="55">
        <f t="shared" si="19"/>
        <v>8.007877676470895E-3</v>
      </c>
    </row>
    <row r="588" spans="2:8">
      <c r="B588" s="54">
        <v>44033</v>
      </c>
      <c r="C588" s="46">
        <v>59.790000999999997</v>
      </c>
      <c r="D588" s="55">
        <f t="shared" si="18"/>
        <v>3.2642468647928476E-2</v>
      </c>
      <c r="F588" s="60">
        <v>44033</v>
      </c>
      <c r="G588" s="47">
        <v>70.198761000000005</v>
      </c>
      <c r="H588" s="55">
        <f t="shared" si="19"/>
        <v>1.9174640935774295E-3</v>
      </c>
    </row>
    <row r="589" spans="2:8">
      <c r="B589" s="54">
        <v>44034</v>
      </c>
      <c r="C589" s="46">
        <v>59.77</v>
      </c>
      <c r="D589" s="55">
        <f t="shared" si="18"/>
        <v>-3.3452081728504231E-4</v>
      </c>
      <c r="F589" s="60">
        <v>44034</v>
      </c>
      <c r="G589" s="47">
        <v>70.630607999999995</v>
      </c>
      <c r="H589" s="55">
        <f t="shared" si="19"/>
        <v>6.1517752428706047E-3</v>
      </c>
    </row>
    <row r="590" spans="2:8">
      <c r="B590" s="54">
        <v>44035</v>
      </c>
      <c r="C590" s="46">
        <v>60.59</v>
      </c>
      <c r="D590" s="55">
        <f t="shared" si="18"/>
        <v>1.3719257152417605E-2</v>
      </c>
      <c r="F590" s="60">
        <v>44035</v>
      </c>
      <c r="G590" s="47">
        <v>69.843681000000004</v>
      </c>
      <c r="H590" s="55">
        <f t="shared" si="19"/>
        <v>-1.1141444513687204E-2</v>
      </c>
    </row>
    <row r="591" spans="2:8">
      <c r="B591" s="54">
        <v>44036</v>
      </c>
      <c r="C591" s="46">
        <v>59.560001</v>
      </c>
      <c r="D591" s="55">
        <f t="shared" si="18"/>
        <v>-1.6999488364416629E-2</v>
      </c>
      <c r="F591" s="60">
        <v>44036</v>
      </c>
      <c r="G591" s="47">
        <v>69.267891000000006</v>
      </c>
      <c r="H591" s="55">
        <f t="shared" si="19"/>
        <v>-8.2439812987519633E-3</v>
      </c>
    </row>
    <row r="592" spans="2:8">
      <c r="B592" s="54">
        <v>44039</v>
      </c>
      <c r="C592" s="46">
        <v>59.75</v>
      </c>
      <c r="D592" s="55">
        <f t="shared" si="18"/>
        <v>3.1900435998985332E-3</v>
      </c>
      <c r="F592" s="60">
        <v>44039</v>
      </c>
      <c r="G592" s="47">
        <v>69.901259999999994</v>
      </c>
      <c r="H592" s="55">
        <f t="shared" si="19"/>
        <v>9.1437604185175443E-3</v>
      </c>
    </row>
    <row r="593" spans="2:8">
      <c r="B593" s="54">
        <v>44040</v>
      </c>
      <c r="C593" s="46">
        <v>59.029998999999997</v>
      </c>
      <c r="D593" s="55">
        <f t="shared" si="18"/>
        <v>-1.2050225941422651E-2</v>
      </c>
      <c r="F593" s="60">
        <v>44040</v>
      </c>
      <c r="G593" s="47">
        <v>69.383056999999994</v>
      </c>
      <c r="H593" s="55">
        <f t="shared" si="19"/>
        <v>-7.4133570696722747E-3</v>
      </c>
    </row>
    <row r="594" spans="2:8">
      <c r="B594" s="54">
        <v>44041</v>
      </c>
      <c r="C594" s="46">
        <v>61.389999000000003</v>
      </c>
      <c r="D594" s="55">
        <f t="shared" si="18"/>
        <v>3.9979672030826335E-2</v>
      </c>
      <c r="F594" s="60">
        <v>44041</v>
      </c>
      <c r="G594" s="47">
        <v>70.371505999999997</v>
      </c>
      <c r="H594" s="55">
        <f t="shared" si="19"/>
        <v>1.4246258996630876E-2</v>
      </c>
    </row>
    <row r="595" spans="2:8">
      <c r="B595" s="54">
        <v>44042</v>
      </c>
      <c r="C595" s="46">
        <v>60.130001</v>
      </c>
      <c r="D595" s="55">
        <f t="shared" si="18"/>
        <v>-2.0524483149120153E-2</v>
      </c>
      <c r="F595" s="60">
        <v>44042</v>
      </c>
      <c r="G595" s="47">
        <v>70.141174000000007</v>
      </c>
      <c r="H595" s="55">
        <f t="shared" si="19"/>
        <v>-3.2730861266489024E-3</v>
      </c>
    </row>
    <row r="596" spans="2:8">
      <c r="B596" s="54">
        <v>44043</v>
      </c>
      <c r="C596" s="46">
        <v>59.599997999999999</v>
      </c>
      <c r="D596" s="55">
        <f t="shared" si="18"/>
        <v>-8.814285567698572E-3</v>
      </c>
      <c r="F596" s="60">
        <v>44043</v>
      </c>
      <c r="G596" s="47">
        <v>70.477058</v>
      </c>
      <c r="H596" s="55">
        <f t="shared" si="19"/>
        <v>4.788685173704006E-3</v>
      </c>
    </row>
    <row r="597" spans="2:8">
      <c r="B597" s="54">
        <v>44046</v>
      </c>
      <c r="C597" s="46">
        <v>61.490001999999997</v>
      </c>
      <c r="D597" s="55">
        <f t="shared" si="18"/>
        <v>3.1711477574210618E-2</v>
      </c>
      <c r="F597" s="60">
        <v>44046</v>
      </c>
      <c r="G597" s="47">
        <v>71.100837999999996</v>
      </c>
      <c r="H597" s="55">
        <f t="shared" si="19"/>
        <v>8.8508234835795278E-3</v>
      </c>
    </row>
    <row r="598" spans="2:8">
      <c r="B598" s="54">
        <v>44047</v>
      </c>
      <c r="C598" s="46">
        <v>60.369999</v>
      </c>
      <c r="D598" s="55">
        <f t="shared" si="18"/>
        <v>-1.8214391991725695E-2</v>
      </c>
      <c r="F598" s="60">
        <v>44047</v>
      </c>
      <c r="G598" s="47">
        <v>71.350326999999993</v>
      </c>
      <c r="H598" s="55">
        <f t="shared" si="19"/>
        <v>3.5089459845747102E-3</v>
      </c>
    </row>
    <row r="599" spans="2:8">
      <c r="B599" s="54">
        <v>44048</v>
      </c>
      <c r="C599" s="46">
        <v>63.68</v>
      </c>
      <c r="D599" s="55">
        <f t="shared" si="18"/>
        <v>5.4828574703140211E-2</v>
      </c>
      <c r="F599" s="60">
        <v>44048</v>
      </c>
      <c r="G599" s="47">
        <v>71.916542000000007</v>
      </c>
      <c r="H599" s="55">
        <f t="shared" si="19"/>
        <v>7.9357029435900683E-3</v>
      </c>
    </row>
    <row r="600" spans="2:8">
      <c r="B600" s="54">
        <v>44049</v>
      </c>
      <c r="C600" s="46">
        <v>63.93</v>
      </c>
      <c r="D600" s="55">
        <f t="shared" si="18"/>
        <v>3.9258793969849243E-3</v>
      </c>
      <c r="F600" s="60">
        <v>44049</v>
      </c>
      <c r="G600" s="47">
        <v>72.281211999999996</v>
      </c>
      <c r="H600" s="55">
        <f t="shared" si="19"/>
        <v>5.0707388016513581E-3</v>
      </c>
    </row>
    <row r="601" spans="2:8">
      <c r="B601" s="54">
        <v>44050</v>
      </c>
      <c r="C601" s="46">
        <v>64.25</v>
      </c>
      <c r="D601" s="55">
        <f t="shared" si="18"/>
        <v>5.0054747379946864E-3</v>
      </c>
      <c r="F601" s="60">
        <v>44050</v>
      </c>
      <c r="G601" s="47">
        <v>72.319587999999996</v>
      </c>
      <c r="H601" s="55">
        <f t="shared" si="19"/>
        <v>5.3092634915971701E-4</v>
      </c>
    </row>
    <row r="602" spans="2:8">
      <c r="B602" s="54">
        <v>44053</v>
      </c>
      <c r="C602" s="46">
        <v>65.349997999999999</v>
      </c>
      <c r="D602" s="55">
        <f t="shared" si="18"/>
        <v>1.7120591439688707E-2</v>
      </c>
      <c r="F602" s="60">
        <v>44053</v>
      </c>
      <c r="G602" s="47">
        <v>72.521125999999995</v>
      </c>
      <c r="H602" s="55">
        <f t="shared" si="19"/>
        <v>2.7867691945368846E-3</v>
      </c>
    </row>
    <row r="603" spans="2:8">
      <c r="B603" s="54">
        <v>44054</v>
      </c>
      <c r="C603" s="46">
        <v>64.75</v>
      </c>
      <c r="D603" s="55">
        <f t="shared" si="18"/>
        <v>-9.1813009695883904E-3</v>
      </c>
      <c r="F603" s="60">
        <v>44054</v>
      </c>
      <c r="G603" s="47">
        <v>71.945335</v>
      </c>
      <c r="H603" s="55">
        <f t="shared" si="19"/>
        <v>-7.9396312737890374E-3</v>
      </c>
    </row>
    <row r="604" spans="2:8">
      <c r="B604" s="54">
        <v>44055</v>
      </c>
      <c r="C604" s="46">
        <v>64.379997000000003</v>
      </c>
      <c r="D604" s="55">
        <f t="shared" si="18"/>
        <v>-5.7143320463319998E-3</v>
      </c>
      <c r="F604" s="60">
        <v>44055</v>
      </c>
      <c r="G604" s="47">
        <v>72.962563000000003</v>
      </c>
      <c r="H604" s="55">
        <f t="shared" si="19"/>
        <v>1.4138901431204718E-2</v>
      </c>
    </row>
    <row r="605" spans="2:8">
      <c r="B605" s="54">
        <v>44056</v>
      </c>
      <c r="C605" s="46">
        <v>63.799999</v>
      </c>
      <c r="D605" s="55">
        <f t="shared" si="18"/>
        <v>-9.0089783632640325E-3</v>
      </c>
      <c r="F605" s="60">
        <v>44056</v>
      </c>
      <c r="G605" s="47">
        <v>72.876204999999999</v>
      </c>
      <c r="H605" s="55">
        <f t="shared" si="19"/>
        <v>-1.1835932901644937E-3</v>
      </c>
    </row>
    <row r="606" spans="2:8">
      <c r="B606" s="54">
        <v>44057</v>
      </c>
      <c r="C606" s="46">
        <v>63.41</v>
      </c>
      <c r="D606" s="55">
        <f t="shared" si="18"/>
        <v>-6.1128370864081535E-3</v>
      </c>
      <c r="F606" s="60">
        <v>44057</v>
      </c>
      <c r="G606" s="47">
        <v>72.876204999999999</v>
      </c>
      <c r="H606" s="55">
        <f t="shared" si="19"/>
        <v>0</v>
      </c>
    </row>
    <row r="607" spans="2:8">
      <c r="B607" s="54">
        <v>44060</v>
      </c>
      <c r="C607" s="46">
        <v>62.82</v>
      </c>
      <c r="D607" s="55">
        <f t="shared" si="18"/>
        <v>-9.3045260999841724E-3</v>
      </c>
      <c r="F607" s="60">
        <v>44060</v>
      </c>
      <c r="G607" s="47">
        <v>73.183280999999994</v>
      </c>
      <c r="H607" s="55">
        <f t="shared" si="19"/>
        <v>4.2136661753997074E-3</v>
      </c>
    </row>
    <row r="608" spans="2:8">
      <c r="B608" s="54">
        <v>44061</v>
      </c>
      <c r="C608" s="46">
        <v>62.389999000000003</v>
      </c>
      <c r="D608" s="55">
        <f t="shared" si="18"/>
        <v>-6.8449697548550971E-3</v>
      </c>
      <c r="F608" s="60">
        <v>44061</v>
      </c>
      <c r="G608" s="47">
        <v>73.288841000000005</v>
      </c>
      <c r="H608" s="55">
        <f t="shared" si="19"/>
        <v>1.4424059506161142E-3</v>
      </c>
    </row>
    <row r="609" spans="2:8">
      <c r="B609" s="54">
        <v>44062</v>
      </c>
      <c r="C609" s="46">
        <v>62.209999000000003</v>
      </c>
      <c r="D609" s="55">
        <f t="shared" si="18"/>
        <v>-2.8850777830594244E-3</v>
      </c>
      <c r="F609" s="60">
        <v>44062</v>
      </c>
      <c r="G609" s="47">
        <v>72.943359000000001</v>
      </c>
      <c r="H609" s="55">
        <f t="shared" si="19"/>
        <v>-4.7139782166838199E-3</v>
      </c>
    </row>
    <row r="610" spans="2:8">
      <c r="B610" s="54">
        <v>44063</v>
      </c>
      <c r="C610" s="46">
        <v>61.419998</v>
      </c>
      <c r="D610" s="55">
        <f t="shared" si="18"/>
        <v>-1.2698939281449011E-2</v>
      </c>
      <c r="F610" s="60">
        <v>44063</v>
      </c>
      <c r="G610" s="47">
        <v>73.192870999999997</v>
      </c>
      <c r="H610" s="55">
        <f t="shared" si="19"/>
        <v>3.4206266810388555E-3</v>
      </c>
    </row>
    <row r="611" spans="2:8">
      <c r="B611" s="54">
        <v>44064</v>
      </c>
      <c r="C611" s="46">
        <v>60.880001</v>
      </c>
      <c r="D611" s="55">
        <f t="shared" si="18"/>
        <v>-8.7918758968373728E-3</v>
      </c>
      <c r="F611" s="60">
        <v>44064</v>
      </c>
      <c r="G611" s="47">
        <v>73.317634999999996</v>
      </c>
      <c r="H611" s="55">
        <f t="shared" si="19"/>
        <v>1.7045922409574424E-3</v>
      </c>
    </row>
    <row r="612" spans="2:8">
      <c r="B612" s="54">
        <v>44067</v>
      </c>
      <c r="C612" s="46">
        <v>61.240001999999997</v>
      </c>
      <c r="D612" s="55">
        <f t="shared" si="18"/>
        <v>5.9132883391377882E-3</v>
      </c>
      <c r="F612" s="60">
        <v>44067</v>
      </c>
      <c r="G612" s="47">
        <v>74.085357999999999</v>
      </c>
      <c r="H612" s="55">
        <f t="shared" si="19"/>
        <v>1.0471191548936403E-2</v>
      </c>
    </row>
    <row r="613" spans="2:8">
      <c r="B613" s="54">
        <v>44068</v>
      </c>
      <c r="C613" s="46">
        <v>60.98</v>
      </c>
      <c r="D613" s="55">
        <f t="shared" si="18"/>
        <v>-4.2456236366550095E-3</v>
      </c>
      <c r="F613" s="60">
        <v>44068</v>
      </c>
      <c r="G613" s="47">
        <v>74.277298000000002</v>
      </c>
      <c r="H613" s="55">
        <f t="shared" si="19"/>
        <v>2.590795336374057E-3</v>
      </c>
    </row>
    <row r="614" spans="2:8">
      <c r="B614" s="54">
        <v>44069</v>
      </c>
      <c r="C614" s="46">
        <v>59.73</v>
      </c>
      <c r="D614" s="55">
        <f t="shared" si="18"/>
        <v>-2.0498524106264349E-2</v>
      </c>
      <c r="F614" s="60">
        <v>44069</v>
      </c>
      <c r="G614" s="47">
        <v>74.977829</v>
      </c>
      <c r="H614" s="55">
        <f t="shared" si="19"/>
        <v>9.4312935292826354E-3</v>
      </c>
    </row>
    <row r="615" spans="2:8">
      <c r="B615" s="54">
        <v>44070</v>
      </c>
      <c r="C615" s="46">
        <v>60.57</v>
      </c>
      <c r="D615" s="55">
        <f t="shared" si="18"/>
        <v>1.4063284781516883E-2</v>
      </c>
      <c r="F615" s="60">
        <v>44070</v>
      </c>
      <c r="G615" s="47">
        <v>75.208160000000007</v>
      </c>
      <c r="H615" s="55">
        <f t="shared" si="19"/>
        <v>3.0719881206483948E-3</v>
      </c>
    </row>
    <row r="616" spans="2:8">
      <c r="B616" s="54">
        <v>44071</v>
      </c>
      <c r="C616" s="46">
        <v>62.91</v>
      </c>
      <c r="D616" s="55">
        <f t="shared" si="18"/>
        <v>3.863298662704303E-2</v>
      </c>
      <c r="F616" s="60">
        <v>44071</v>
      </c>
      <c r="G616" s="47">
        <v>75.707168999999993</v>
      </c>
      <c r="H616" s="55">
        <f t="shared" si="19"/>
        <v>6.6350380065140092E-3</v>
      </c>
    </row>
    <row r="617" spans="2:8">
      <c r="B617" s="54">
        <v>44074</v>
      </c>
      <c r="C617" s="46">
        <v>61.099997999999999</v>
      </c>
      <c r="D617" s="55">
        <f t="shared" si="18"/>
        <v>-2.8771292322365243E-2</v>
      </c>
      <c r="F617" s="60">
        <v>44074</v>
      </c>
      <c r="G617" s="47">
        <v>75.448081999999999</v>
      </c>
      <c r="H617" s="55">
        <f t="shared" si="19"/>
        <v>-3.4222254434054175E-3</v>
      </c>
    </row>
    <row r="618" spans="2:8">
      <c r="B618" s="54">
        <v>44075</v>
      </c>
      <c r="C618" s="46">
        <v>60</v>
      </c>
      <c r="D618" s="55">
        <f t="shared" si="18"/>
        <v>-1.8003241178502157E-2</v>
      </c>
      <c r="F618" s="60">
        <v>44075</v>
      </c>
      <c r="G618" s="47">
        <v>76.129409999999993</v>
      </c>
      <c r="H618" s="55">
        <f t="shared" si="19"/>
        <v>9.0304217408733265E-3</v>
      </c>
    </row>
    <row r="619" spans="2:8">
      <c r="B619" s="54">
        <v>44076</v>
      </c>
      <c r="C619" s="46">
        <v>60.82</v>
      </c>
      <c r="D619" s="55">
        <f t="shared" si="18"/>
        <v>1.3666666666666671E-2</v>
      </c>
      <c r="F619" s="60">
        <v>44076</v>
      </c>
      <c r="G619" s="47">
        <v>77.223419000000007</v>
      </c>
      <c r="H619" s="55">
        <f t="shared" si="19"/>
        <v>1.4370385899483709E-2</v>
      </c>
    </row>
    <row r="620" spans="2:8">
      <c r="B620" s="54">
        <v>44077</v>
      </c>
      <c r="C620" s="46">
        <v>57.709999000000003</v>
      </c>
      <c r="D620" s="55">
        <f t="shared" si="18"/>
        <v>-5.1134511673791468E-2</v>
      </c>
      <c r="F620" s="60">
        <v>44077</v>
      </c>
      <c r="G620" s="47">
        <v>74.517196999999996</v>
      </c>
      <c r="H620" s="55">
        <f t="shared" si="19"/>
        <v>-3.5044058331579579E-2</v>
      </c>
    </row>
    <row r="621" spans="2:8">
      <c r="B621" s="54">
        <v>44078</v>
      </c>
      <c r="C621" s="46">
        <v>57.389999000000003</v>
      </c>
      <c r="D621" s="55">
        <f t="shared" si="18"/>
        <v>-5.5449663064454438E-3</v>
      </c>
      <c r="F621" s="60">
        <v>44078</v>
      </c>
      <c r="G621" s="47">
        <v>73.864638999999997</v>
      </c>
      <c r="H621" s="55">
        <f t="shared" si="19"/>
        <v>-8.7571463537470303E-3</v>
      </c>
    </row>
    <row r="622" spans="2:8">
      <c r="B622" s="54">
        <v>44082</v>
      </c>
      <c r="C622" s="46">
        <v>56.220001000000003</v>
      </c>
      <c r="D622" s="55">
        <f t="shared" si="18"/>
        <v>-2.0386792479295906E-2</v>
      </c>
      <c r="F622" s="60">
        <v>44082</v>
      </c>
      <c r="G622" s="47">
        <v>71.772582999999997</v>
      </c>
      <c r="H622" s="55">
        <f t="shared" si="19"/>
        <v>-2.8322835233784864E-2</v>
      </c>
    </row>
    <row r="623" spans="2:8">
      <c r="B623" s="54">
        <v>44083</v>
      </c>
      <c r="C623" s="46">
        <v>56.860000999999997</v>
      </c>
      <c r="D623" s="55">
        <f t="shared" si="18"/>
        <v>1.138384896151093E-2</v>
      </c>
      <c r="F623" s="60">
        <v>44083</v>
      </c>
      <c r="G623" s="47">
        <v>73.212067000000005</v>
      </c>
      <c r="H623" s="55">
        <f t="shared" si="19"/>
        <v>2.0056182177531599E-2</v>
      </c>
    </row>
    <row r="624" spans="2:8">
      <c r="B624" s="54">
        <v>44084</v>
      </c>
      <c r="C624" s="46">
        <v>56</v>
      </c>
      <c r="D624" s="55">
        <f t="shared" si="18"/>
        <v>-1.5124885418134216E-2</v>
      </c>
      <c r="F624" s="60">
        <v>44084</v>
      </c>
      <c r="G624" s="47">
        <v>72.022094999999993</v>
      </c>
      <c r="H624" s="55">
        <f t="shared" si="19"/>
        <v>-1.6253768658109482E-2</v>
      </c>
    </row>
    <row r="625" spans="2:8">
      <c r="B625" s="54">
        <v>44085</v>
      </c>
      <c r="C625" s="46">
        <v>55.709999000000003</v>
      </c>
      <c r="D625" s="55">
        <f t="shared" si="18"/>
        <v>-5.1785892857142257E-3</v>
      </c>
      <c r="F625" s="60">
        <v>44085</v>
      </c>
      <c r="G625" s="47">
        <v>72.002898999999999</v>
      </c>
      <c r="H625" s="55">
        <f t="shared" si="19"/>
        <v>-2.6652931992597237E-4</v>
      </c>
    </row>
    <row r="626" spans="2:8">
      <c r="B626" s="54">
        <v>44088</v>
      </c>
      <c r="C626" s="46">
        <v>56.77</v>
      </c>
      <c r="D626" s="55">
        <f t="shared" si="18"/>
        <v>1.9027122940713025E-2</v>
      </c>
      <c r="F626" s="60">
        <v>44088</v>
      </c>
      <c r="G626" s="47">
        <v>73.116104000000007</v>
      </c>
      <c r="H626" s="55">
        <f t="shared" si="19"/>
        <v>1.5460558053364043E-2</v>
      </c>
    </row>
    <row r="627" spans="2:8">
      <c r="B627" s="54">
        <v>44089</v>
      </c>
      <c r="C627" s="46">
        <v>57.310001</v>
      </c>
      <c r="D627" s="55">
        <f t="shared" si="18"/>
        <v>9.5120838471022835E-3</v>
      </c>
      <c r="F627" s="60">
        <v>44089</v>
      </c>
      <c r="G627" s="47">
        <v>73.519157000000007</v>
      </c>
      <c r="H627" s="55">
        <f t="shared" si="19"/>
        <v>5.5125065197675176E-3</v>
      </c>
    </row>
    <row r="628" spans="2:8">
      <c r="B628" s="54">
        <v>44090</v>
      </c>
      <c r="C628" s="46">
        <v>58.060001</v>
      </c>
      <c r="D628" s="55">
        <f t="shared" si="18"/>
        <v>1.3086721111730568E-2</v>
      </c>
      <c r="F628" s="60">
        <v>44090</v>
      </c>
      <c r="G628" s="47">
        <v>73.250450000000001</v>
      </c>
      <c r="H628" s="55">
        <f t="shared" si="19"/>
        <v>-3.6549249333749328E-3</v>
      </c>
    </row>
    <row r="629" spans="2:8">
      <c r="B629" s="54">
        <v>44091</v>
      </c>
      <c r="C629" s="46">
        <v>57.860000999999997</v>
      </c>
      <c r="D629" s="55">
        <f t="shared" si="18"/>
        <v>-3.4447123071872292E-3</v>
      </c>
      <c r="F629" s="60">
        <v>44091</v>
      </c>
      <c r="G629" s="47">
        <v>72.674683000000002</v>
      </c>
      <c r="H629" s="55">
        <f t="shared" si="19"/>
        <v>-7.8602520530590466E-3</v>
      </c>
    </row>
    <row r="630" spans="2:8">
      <c r="B630" s="54">
        <v>44092</v>
      </c>
      <c r="C630" s="46">
        <v>55.939999</v>
      </c>
      <c r="D630" s="55">
        <f t="shared" si="18"/>
        <v>-3.3183580484210447E-2</v>
      </c>
      <c r="F630" s="60">
        <v>44092</v>
      </c>
      <c r="G630" s="47">
        <v>71.945335</v>
      </c>
      <c r="H630" s="55">
        <f t="shared" si="19"/>
        <v>-1.0035791968985975E-2</v>
      </c>
    </row>
    <row r="631" spans="2:8">
      <c r="B631" s="54">
        <v>44095</v>
      </c>
      <c r="C631" s="46">
        <v>53.799999</v>
      </c>
      <c r="D631" s="55">
        <f t="shared" si="18"/>
        <v>-3.8255274191191894E-2</v>
      </c>
      <c r="F631" s="60">
        <v>44095</v>
      </c>
      <c r="G631" s="47">
        <v>71.100837999999996</v>
      </c>
      <c r="H631" s="55">
        <f t="shared" si="19"/>
        <v>-1.1738036941519614E-2</v>
      </c>
    </row>
    <row r="632" spans="2:8">
      <c r="B632" s="54">
        <v>44096</v>
      </c>
      <c r="C632" s="46">
        <v>54.290000999999997</v>
      </c>
      <c r="D632" s="55">
        <f t="shared" si="18"/>
        <v>9.1078440354617277E-3</v>
      </c>
      <c r="F632" s="60">
        <v>44096</v>
      </c>
      <c r="G632" s="47">
        <v>71.762985</v>
      </c>
      <c r="H632" s="55">
        <f t="shared" si="19"/>
        <v>9.3127875651761588E-3</v>
      </c>
    </row>
    <row r="633" spans="2:8">
      <c r="B633" s="54">
        <v>44097</v>
      </c>
      <c r="C633" s="46">
        <v>53.380001</v>
      </c>
      <c r="D633" s="55">
        <f t="shared" si="18"/>
        <v>-1.6761834283259575E-2</v>
      </c>
      <c r="F633" s="60">
        <v>44097</v>
      </c>
      <c r="G633" s="47">
        <v>69.981644000000003</v>
      </c>
      <c r="H633" s="55">
        <f t="shared" si="19"/>
        <v>-2.4822559986878996E-2</v>
      </c>
    </row>
    <row r="634" spans="2:8">
      <c r="B634" s="54">
        <v>44098</v>
      </c>
      <c r="C634" s="46">
        <v>53.18</v>
      </c>
      <c r="D634" s="55">
        <f t="shared" si="18"/>
        <v>-3.7467402820018738E-3</v>
      </c>
      <c r="F634" s="60">
        <v>44098</v>
      </c>
      <c r="G634" s="47">
        <v>70.155151000000004</v>
      </c>
      <c r="H634" s="55">
        <f t="shared" si="19"/>
        <v>2.4793215775268259E-3</v>
      </c>
    </row>
    <row r="635" spans="2:8">
      <c r="B635" s="54">
        <v>44099</v>
      </c>
      <c r="C635" s="46">
        <v>55.040000999999997</v>
      </c>
      <c r="D635" s="55">
        <f t="shared" si="18"/>
        <v>3.4975573523881101E-2</v>
      </c>
      <c r="F635" s="60">
        <v>44099</v>
      </c>
      <c r="G635" s="47">
        <v>71.360061999999999</v>
      </c>
      <c r="H635" s="55">
        <f t="shared" si="19"/>
        <v>1.7174946997120646E-2</v>
      </c>
    </row>
    <row r="636" spans="2:8">
      <c r="B636" s="54">
        <v>44102</v>
      </c>
      <c r="C636" s="46">
        <v>56.130001</v>
      </c>
      <c r="D636" s="55">
        <f t="shared" si="18"/>
        <v>1.980377870996048E-2</v>
      </c>
      <c r="F636" s="60">
        <v>44102</v>
      </c>
      <c r="G636" s="47">
        <v>72.584259000000003</v>
      </c>
      <c r="H636" s="55">
        <f t="shared" si="19"/>
        <v>1.7155212112904328E-2</v>
      </c>
    </row>
    <row r="637" spans="2:8">
      <c r="B637" s="54">
        <v>44103</v>
      </c>
      <c r="C637" s="46">
        <v>56.009998000000003</v>
      </c>
      <c r="D637" s="55">
        <f t="shared" si="18"/>
        <v>-2.1379475835034633E-3</v>
      </c>
      <c r="F637" s="60">
        <v>44103</v>
      </c>
      <c r="G637" s="47">
        <v>72.227599999999995</v>
      </c>
      <c r="H637" s="55">
        <f t="shared" si="19"/>
        <v>-4.9137237868613851E-3</v>
      </c>
    </row>
    <row r="638" spans="2:8">
      <c r="B638" s="54">
        <v>44104</v>
      </c>
      <c r="C638" s="46">
        <v>56.029998999999997</v>
      </c>
      <c r="D638" s="55">
        <f t="shared" si="18"/>
        <v>3.570969597248244E-4</v>
      </c>
      <c r="F638" s="60">
        <v>44104</v>
      </c>
      <c r="G638" s="47">
        <v>72.767394999999993</v>
      </c>
      <c r="H638" s="55">
        <f t="shared" si="19"/>
        <v>7.4735281249826667E-3</v>
      </c>
    </row>
    <row r="639" spans="2:8">
      <c r="B639" s="54">
        <v>44105</v>
      </c>
      <c r="C639" s="46">
        <v>56.369999</v>
      </c>
      <c r="D639" s="55">
        <f t="shared" si="18"/>
        <v>6.0681778702156219E-3</v>
      </c>
      <c r="F639" s="60">
        <v>44105</v>
      </c>
      <c r="G639" s="47">
        <v>73.326485000000005</v>
      </c>
      <c r="H639" s="55">
        <f t="shared" si="19"/>
        <v>7.6832487957004909E-3</v>
      </c>
    </row>
    <row r="640" spans="2:8">
      <c r="B640" s="54">
        <v>44106</v>
      </c>
      <c r="C640" s="46">
        <v>57.880001</v>
      </c>
      <c r="D640" s="55">
        <f t="shared" si="18"/>
        <v>2.6787334163337489E-2</v>
      </c>
      <c r="F640" s="60">
        <v>44106</v>
      </c>
      <c r="G640" s="47">
        <v>72.786697000000004</v>
      </c>
      <c r="H640" s="55">
        <f t="shared" si="19"/>
        <v>-7.3614329119962791E-3</v>
      </c>
    </row>
    <row r="641" spans="2:8">
      <c r="B641" s="54">
        <v>44109</v>
      </c>
      <c r="C641" s="46">
        <v>58.290000999999997</v>
      </c>
      <c r="D641" s="55">
        <f t="shared" si="18"/>
        <v>7.0836211630334383E-3</v>
      </c>
      <c r="F641" s="60">
        <v>44109</v>
      </c>
      <c r="G641" s="47">
        <v>74.107269000000002</v>
      </c>
      <c r="H641" s="55">
        <f t="shared" si="19"/>
        <v>1.8143040616336779E-2</v>
      </c>
    </row>
    <row r="642" spans="2:8">
      <c r="B642" s="54">
        <v>44110</v>
      </c>
      <c r="C642" s="46">
        <v>57.790000999999997</v>
      </c>
      <c r="D642" s="55">
        <f t="shared" si="18"/>
        <v>-8.5778005047555238E-3</v>
      </c>
      <c r="F642" s="60">
        <v>44110</v>
      </c>
      <c r="G642" s="47">
        <v>73.114425999999995</v>
      </c>
      <c r="H642" s="55">
        <f t="shared" si="19"/>
        <v>-1.3397376713477427E-2</v>
      </c>
    </row>
    <row r="643" spans="2:8">
      <c r="B643" s="54">
        <v>44111</v>
      </c>
      <c r="C643" s="46">
        <v>58.849997999999999</v>
      </c>
      <c r="D643" s="55">
        <f t="shared" si="18"/>
        <v>1.8342221520293845E-2</v>
      </c>
      <c r="F643" s="60">
        <v>44111</v>
      </c>
      <c r="G643" s="47">
        <v>74.415740999999997</v>
      </c>
      <c r="H643" s="55">
        <f t="shared" si="19"/>
        <v>1.7798334353332713E-2</v>
      </c>
    </row>
    <row r="644" spans="2:8">
      <c r="B644" s="54">
        <v>44112</v>
      </c>
      <c r="C644" s="46">
        <v>59.07</v>
      </c>
      <c r="D644" s="55">
        <f t="shared" si="18"/>
        <v>3.7383518687630359E-3</v>
      </c>
      <c r="F644" s="60">
        <v>44112</v>
      </c>
      <c r="G644" s="47">
        <v>75.148337999999995</v>
      </c>
      <c r="H644" s="55">
        <f t="shared" si="19"/>
        <v>9.8446510127474032E-3</v>
      </c>
    </row>
    <row r="645" spans="2:8">
      <c r="B645" s="54">
        <v>44113</v>
      </c>
      <c r="C645" s="46">
        <v>58.869999</v>
      </c>
      <c r="D645" s="55">
        <f t="shared" si="18"/>
        <v>-3.3858303707465774E-3</v>
      </c>
      <c r="F645" s="60">
        <v>44113</v>
      </c>
      <c r="G645" s="47">
        <v>75.794167000000002</v>
      </c>
      <c r="H645" s="55">
        <f t="shared" si="19"/>
        <v>8.5940556662744329E-3</v>
      </c>
    </row>
    <row r="646" spans="2:8">
      <c r="B646" s="54">
        <v>44116</v>
      </c>
      <c r="C646" s="46">
        <v>60.049999</v>
      </c>
      <c r="D646" s="55">
        <f t="shared" ref="D646:D709" si="20">(C646-C645)/C645</f>
        <v>2.0044165450045271E-2</v>
      </c>
      <c r="F646" s="60">
        <v>44116</v>
      </c>
      <c r="G646" s="47">
        <v>76.902687</v>
      </c>
      <c r="H646" s="55">
        <f t="shared" ref="H646:H709" si="21">(G646-G645)/G645</f>
        <v>1.4625399867512214E-2</v>
      </c>
    </row>
    <row r="647" spans="2:8">
      <c r="B647" s="54">
        <v>44117</v>
      </c>
      <c r="C647" s="46">
        <v>59.389999000000003</v>
      </c>
      <c r="D647" s="55">
        <f t="shared" si="20"/>
        <v>-1.0990841148889888E-2</v>
      </c>
      <c r="F647" s="60">
        <v>44117</v>
      </c>
      <c r="G647" s="47">
        <v>76.488197</v>
      </c>
      <c r="H647" s="55">
        <f t="shared" si="21"/>
        <v>-5.389798668543281E-3</v>
      </c>
    </row>
    <row r="648" spans="2:8">
      <c r="B648" s="54">
        <v>44118</v>
      </c>
      <c r="C648" s="46">
        <v>59.119999</v>
      </c>
      <c r="D648" s="55">
        <f t="shared" si="20"/>
        <v>-4.5462199788890902E-3</v>
      </c>
      <c r="F648" s="60">
        <v>44118</v>
      </c>
      <c r="G648" s="47">
        <v>76.015854000000004</v>
      </c>
      <c r="H648" s="55">
        <f t="shared" si="21"/>
        <v>-6.1753710837241342E-3</v>
      </c>
    </row>
    <row r="649" spans="2:8">
      <c r="B649" s="54">
        <v>44119</v>
      </c>
      <c r="C649" s="46">
        <v>59.529998999999997</v>
      </c>
      <c r="D649" s="55">
        <f t="shared" si="20"/>
        <v>6.9350474786035871E-3</v>
      </c>
      <c r="F649" s="60">
        <v>44119</v>
      </c>
      <c r="G649" s="47">
        <v>75.986946000000003</v>
      </c>
      <c r="H649" s="55">
        <f t="shared" si="21"/>
        <v>-3.8028909074679692E-4</v>
      </c>
    </row>
    <row r="650" spans="2:8">
      <c r="B650" s="54">
        <v>44120</v>
      </c>
      <c r="C650" s="46">
        <v>58.73</v>
      </c>
      <c r="D650" s="55">
        <f t="shared" si="20"/>
        <v>-1.3438585812843701E-2</v>
      </c>
      <c r="F650" s="60">
        <v>44120</v>
      </c>
      <c r="G650" s="47">
        <v>75.890563999999998</v>
      </c>
      <c r="H650" s="55">
        <f t="shared" si="21"/>
        <v>-1.2684020752723173E-3</v>
      </c>
    </row>
    <row r="651" spans="2:8">
      <c r="B651" s="54">
        <v>44123</v>
      </c>
      <c r="C651" s="46">
        <v>58.189999</v>
      </c>
      <c r="D651" s="55">
        <f t="shared" si="20"/>
        <v>-9.1946364719904077E-3</v>
      </c>
      <c r="F651" s="60">
        <v>44123</v>
      </c>
      <c r="G651" s="47">
        <v>74.753128000000004</v>
      </c>
      <c r="H651" s="55">
        <f t="shared" si="21"/>
        <v>-1.4987844865667278E-2</v>
      </c>
    </row>
    <row r="652" spans="2:8">
      <c r="B652" s="54">
        <v>44124</v>
      </c>
      <c r="C652" s="46">
        <v>58</v>
      </c>
      <c r="D652" s="55">
        <f t="shared" si="20"/>
        <v>-3.265148707082814E-3</v>
      </c>
      <c r="F652" s="60">
        <v>44124</v>
      </c>
      <c r="G652" s="47">
        <v>74.965187</v>
      </c>
      <c r="H652" s="55">
        <f t="shared" si="21"/>
        <v>2.8367909902044025E-3</v>
      </c>
    </row>
    <row r="653" spans="2:8">
      <c r="B653" s="54">
        <v>44125</v>
      </c>
      <c r="C653" s="46">
        <v>56.040000999999997</v>
      </c>
      <c r="D653" s="55">
        <f t="shared" si="20"/>
        <v>-3.3793086206896611E-2</v>
      </c>
      <c r="F653" s="60">
        <v>44125</v>
      </c>
      <c r="G653" s="47">
        <v>74.801315000000002</v>
      </c>
      <c r="H653" s="55">
        <f t="shared" si="21"/>
        <v>-2.1859746711496604E-3</v>
      </c>
    </row>
    <row r="654" spans="2:8">
      <c r="B654" s="54">
        <v>44126</v>
      </c>
      <c r="C654" s="46">
        <v>56.459999000000003</v>
      </c>
      <c r="D654" s="55">
        <f t="shared" si="20"/>
        <v>7.4946108584117762E-3</v>
      </c>
      <c r="F654" s="60">
        <v>44126</v>
      </c>
      <c r="G654" s="47">
        <v>75.302550999999994</v>
      </c>
      <c r="H654" s="55">
        <f t="shared" si="21"/>
        <v>6.7008982395562371E-3</v>
      </c>
    </row>
    <row r="655" spans="2:8">
      <c r="B655" s="54">
        <v>44127</v>
      </c>
      <c r="C655" s="46">
        <v>58.939999</v>
      </c>
      <c r="D655" s="55">
        <f t="shared" si="20"/>
        <v>4.3924903363884167E-2</v>
      </c>
      <c r="F655" s="60">
        <v>44127</v>
      </c>
      <c r="G655" s="47">
        <v>75.582099999999997</v>
      </c>
      <c r="H655" s="55">
        <f t="shared" si="21"/>
        <v>3.7123443533805776E-3</v>
      </c>
    </row>
    <row r="656" spans="2:8">
      <c r="B656" s="54">
        <v>44130</v>
      </c>
      <c r="C656" s="46">
        <v>56.84</v>
      </c>
      <c r="D656" s="55">
        <f t="shared" si="20"/>
        <v>-3.562943731980716E-2</v>
      </c>
      <c r="F656" s="60">
        <v>44130</v>
      </c>
      <c r="G656" s="47">
        <v>74.184394999999995</v>
      </c>
      <c r="H656" s="55">
        <f t="shared" si="21"/>
        <v>-1.8492539900320341E-2</v>
      </c>
    </row>
    <row r="657" spans="2:8">
      <c r="B657" s="54">
        <v>44131</v>
      </c>
      <c r="C657" s="46">
        <v>55.869999</v>
      </c>
      <c r="D657" s="55">
        <f t="shared" si="20"/>
        <v>-1.7065464461646786E-2</v>
      </c>
      <c r="F657" s="60">
        <v>44131</v>
      </c>
      <c r="G657" s="47">
        <v>73.914482000000007</v>
      </c>
      <c r="H657" s="55">
        <f t="shared" si="21"/>
        <v>-3.6384067026493687E-3</v>
      </c>
    </row>
    <row r="658" spans="2:8">
      <c r="B658" s="54">
        <v>44132</v>
      </c>
      <c r="C658" s="46">
        <v>53.360000999999997</v>
      </c>
      <c r="D658" s="55">
        <f t="shared" si="20"/>
        <v>-4.4925685429133499E-2</v>
      </c>
      <c r="F658" s="60">
        <v>44132</v>
      </c>
      <c r="G658" s="47">
        <v>71.485373999999993</v>
      </c>
      <c r="H658" s="55">
        <f t="shared" si="21"/>
        <v>-3.2863762746791807E-2</v>
      </c>
    </row>
    <row r="659" spans="2:8">
      <c r="B659" s="54">
        <v>44133</v>
      </c>
      <c r="C659" s="46">
        <v>53.25</v>
      </c>
      <c r="D659" s="55">
        <f t="shared" si="20"/>
        <v>-2.0614879673633612E-3</v>
      </c>
      <c r="F659" s="60">
        <v>44133</v>
      </c>
      <c r="G659" s="47">
        <v>72.169769000000002</v>
      </c>
      <c r="H659" s="55">
        <f t="shared" si="21"/>
        <v>9.57391647695666E-3</v>
      </c>
    </row>
    <row r="660" spans="2:8">
      <c r="B660" s="54">
        <v>44134</v>
      </c>
      <c r="C660" s="46">
        <v>52.970001000000003</v>
      </c>
      <c r="D660" s="55">
        <f t="shared" si="20"/>
        <v>-5.2581971830985268E-3</v>
      </c>
      <c r="F660" s="60">
        <v>44134</v>
      </c>
      <c r="G660" s="47">
        <v>71.379340999999997</v>
      </c>
      <c r="H660" s="55">
        <f t="shared" si="21"/>
        <v>-1.0952342108785268E-2</v>
      </c>
    </row>
    <row r="661" spans="2:8">
      <c r="B661" s="54">
        <v>44137</v>
      </c>
      <c r="C661" s="46">
        <v>55.110000999999997</v>
      </c>
      <c r="D661" s="55">
        <f t="shared" si="20"/>
        <v>4.0400225780626159E-2</v>
      </c>
      <c r="F661" s="60">
        <v>44137</v>
      </c>
      <c r="G661" s="47">
        <v>72.140839</v>
      </c>
      <c r="H661" s="55">
        <f t="shared" si="21"/>
        <v>1.0668324886888535E-2</v>
      </c>
    </row>
    <row r="662" spans="2:8">
      <c r="B662" s="54">
        <v>44138</v>
      </c>
      <c r="C662" s="46">
        <v>55.610000999999997</v>
      </c>
      <c r="D662" s="55">
        <f t="shared" si="20"/>
        <v>9.0727633991514543E-3</v>
      </c>
      <c r="F662" s="60">
        <v>44138</v>
      </c>
      <c r="G662" s="47">
        <v>73.509643999999994</v>
      </c>
      <c r="H662" s="55">
        <f t="shared" si="21"/>
        <v>1.8974065438856273E-2</v>
      </c>
    </row>
    <row r="663" spans="2:8">
      <c r="B663" s="54">
        <v>44139</v>
      </c>
      <c r="C663" s="46">
        <v>61</v>
      </c>
      <c r="D663" s="55">
        <f t="shared" si="20"/>
        <v>9.6924993761463935E-2</v>
      </c>
      <c r="F663" s="60">
        <v>44139</v>
      </c>
      <c r="G663" s="47">
        <v>75.071219999999997</v>
      </c>
      <c r="H663" s="55">
        <f t="shared" si="21"/>
        <v>2.124314464099435E-2</v>
      </c>
    </row>
    <row r="664" spans="2:8">
      <c r="B664" s="54">
        <v>44140</v>
      </c>
      <c r="C664" s="46">
        <v>65.300003000000004</v>
      </c>
      <c r="D664" s="55">
        <f t="shared" si="20"/>
        <v>7.0491852459016457E-2</v>
      </c>
      <c r="F664" s="60">
        <v>44140</v>
      </c>
      <c r="G664" s="47">
        <v>76.652061000000003</v>
      </c>
      <c r="H664" s="55">
        <f t="shared" si="21"/>
        <v>2.1057883433891266E-2</v>
      </c>
    </row>
    <row r="665" spans="2:8">
      <c r="B665" s="54">
        <v>44141</v>
      </c>
      <c r="C665" s="46">
        <v>65.010002</v>
      </c>
      <c r="D665" s="55">
        <f t="shared" si="20"/>
        <v>-4.4410564575319191E-3</v>
      </c>
      <c r="F665" s="60">
        <v>44141</v>
      </c>
      <c r="G665" s="47">
        <v>76.603874000000005</v>
      </c>
      <c r="H665" s="55">
        <f t="shared" si="21"/>
        <v>-6.2864584945731129E-4</v>
      </c>
    </row>
    <row r="666" spans="2:8">
      <c r="B666" s="54">
        <v>44144</v>
      </c>
      <c r="C666" s="46">
        <v>69.830001999999993</v>
      </c>
      <c r="D666" s="55">
        <f t="shared" si="20"/>
        <v>7.4142437343718171E-2</v>
      </c>
      <c r="F666" s="60">
        <v>44144</v>
      </c>
      <c r="G666" s="47">
        <v>77.500327999999996</v>
      </c>
      <c r="H666" s="55">
        <f t="shared" si="21"/>
        <v>1.1702462985096437E-2</v>
      </c>
    </row>
    <row r="667" spans="2:8">
      <c r="B667" s="54">
        <v>44145</v>
      </c>
      <c r="C667" s="46">
        <v>73.720000999999996</v>
      </c>
      <c r="D667" s="55">
        <f t="shared" si="20"/>
        <v>5.5706700395053738E-2</v>
      </c>
      <c r="F667" s="60">
        <v>44145</v>
      </c>
      <c r="G667" s="47">
        <v>77.452126000000007</v>
      </c>
      <c r="H667" s="55">
        <f t="shared" si="21"/>
        <v>-6.2195865803289503E-4</v>
      </c>
    </row>
    <row r="668" spans="2:8">
      <c r="B668" s="54">
        <v>44146</v>
      </c>
      <c r="C668" s="46">
        <v>72.550003000000004</v>
      </c>
      <c r="D668" s="55">
        <f t="shared" si="20"/>
        <v>-1.5870835378854548E-2</v>
      </c>
      <c r="F668" s="60">
        <v>44146</v>
      </c>
      <c r="G668" s="47">
        <v>77.953377000000003</v>
      </c>
      <c r="H668" s="55">
        <f t="shared" si="21"/>
        <v>6.4717526281976596E-3</v>
      </c>
    </row>
    <row r="669" spans="2:8">
      <c r="B669" s="54">
        <v>44147</v>
      </c>
      <c r="C669" s="46">
        <v>70.080001999999993</v>
      </c>
      <c r="D669" s="55">
        <f t="shared" si="20"/>
        <v>-3.404549824760187E-2</v>
      </c>
      <c r="F669" s="60">
        <v>44147</v>
      </c>
      <c r="G669" s="47">
        <v>77.259338</v>
      </c>
      <c r="H669" s="55">
        <f t="shared" si="21"/>
        <v>-8.9032576484788292E-3</v>
      </c>
    </row>
    <row r="670" spans="2:8">
      <c r="B670" s="54">
        <v>44148</v>
      </c>
      <c r="C670" s="46">
        <v>71.449996999999996</v>
      </c>
      <c r="D670" s="55">
        <f t="shared" si="20"/>
        <v>1.9549014853053274E-2</v>
      </c>
      <c r="F670" s="60">
        <v>44148</v>
      </c>
      <c r="G670" s="47">
        <v>78.329314999999994</v>
      </c>
      <c r="H670" s="55">
        <f t="shared" si="21"/>
        <v>1.3849160861305781E-2</v>
      </c>
    </row>
    <row r="671" spans="2:8">
      <c r="B671" s="54">
        <v>44151</v>
      </c>
      <c r="C671" s="46">
        <v>73.059997999999993</v>
      </c>
      <c r="D671" s="55">
        <f t="shared" si="20"/>
        <v>2.2533254969905697E-2</v>
      </c>
      <c r="F671" s="60">
        <v>44151</v>
      </c>
      <c r="G671" s="47">
        <v>79.351089000000002</v>
      </c>
      <c r="H671" s="55">
        <f t="shared" si="21"/>
        <v>1.3044592564099506E-2</v>
      </c>
    </row>
    <row r="672" spans="2:8">
      <c r="B672" s="54">
        <v>44152</v>
      </c>
      <c r="C672" s="46">
        <v>73.160004000000001</v>
      </c>
      <c r="D672" s="55">
        <f t="shared" si="20"/>
        <v>1.3688201852949352E-3</v>
      </c>
      <c r="F672" s="60">
        <v>44152</v>
      </c>
      <c r="G672" s="47">
        <v>79.139008000000004</v>
      </c>
      <c r="H672" s="55">
        <f t="shared" si="21"/>
        <v>-2.6726917383578406E-3</v>
      </c>
    </row>
    <row r="673" spans="2:8">
      <c r="B673" s="54">
        <v>44153</v>
      </c>
      <c r="C673" s="46">
        <v>72.139999000000003</v>
      </c>
      <c r="D673" s="55">
        <f t="shared" si="20"/>
        <v>-1.3942112414318589E-2</v>
      </c>
      <c r="F673" s="60">
        <v>44153</v>
      </c>
      <c r="G673" s="47">
        <v>78.290756000000002</v>
      </c>
      <c r="H673" s="55">
        <f t="shared" si="21"/>
        <v>-1.0718506858210835E-2</v>
      </c>
    </row>
    <row r="674" spans="2:8">
      <c r="B674" s="54">
        <v>44154</v>
      </c>
      <c r="C674" s="46">
        <v>71.790001000000004</v>
      </c>
      <c r="D674" s="55">
        <f t="shared" si="20"/>
        <v>-4.8516496375332549E-3</v>
      </c>
      <c r="F674" s="60">
        <v>44154</v>
      </c>
      <c r="G674" s="47">
        <v>78.724532999999994</v>
      </c>
      <c r="H674" s="55">
        <f t="shared" si="21"/>
        <v>5.5405902581907888E-3</v>
      </c>
    </row>
    <row r="675" spans="2:8">
      <c r="B675" s="54">
        <v>44155</v>
      </c>
      <c r="C675" s="46">
        <v>72.220000999999996</v>
      </c>
      <c r="D675" s="55">
        <f t="shared" si="20"/>
        <v>5.9896920742485097E-3</v>
      </c>
      <c r="F675" s="60">
        <v>44155</v>
      </c>
      <c r="G675" s="47">
        <v>78.310035999999997</v>
      </c>
      <c r="H675" s="55">
        <f t="shared" si="21"/>
        <v>-5.2651566697765901E-3</v>
      </c>
    </row>
    <row r="676" spans="2:8">
      <c r="B676" s="54">
        <v>44158</v>
      </c>
      <c r="C676" s="46">
        <v>73.480002999999996</v>
      </c>
      <c r="D676" s="55">
        <f t="shared" si="20"/>
        <v>1.7446718118987566E-2</v>
      </c>
      <c r="F676" s="60">
        <v>44158</v>
      </c>
      <c r="G676" s="47">
        <v>78.946242999999996</v>
      </c>
      <c r="H676" s="55">
        <f t="shared" si="21"/>
        <v>8.1242077324546105E-3</v>
      </c>
    </row>
    <row r="677" spans="2:8">
      <c r="B677" s="54">
        <v>44159</v>
      </c>
      <c r="C677" s="46">
        <v>75.550003000000004</v>
      </c>
      <c r="D677" s="55">
        <f t="shared" si="20"/>
        <v>2.8170929715394914E-2</v>
      </c>
      <c r="F677" s="60">
        <v>44159</v>
      </c>
      <c r="G677" s="47">
        <v>80.170417999999998</v>
      </c>
      <c r="H677" s="55">
        <f t="shared" si="21"/>
        <v>1.5506437716105154E-2</v>
      </c>
    </row>
    <row r="678" spans="2:8">
      <c r="B678" s="54">
        <v>44160</v>
      </c>
      <c r="C678" s="46">
        <v>75.269997000000004</v>
      </c>
      <c r="D678" s="55">
        <f t="shared" si="20"/>
        <v>-3.7062341347623797E-3</v>
      </c>
      <c r="F678" s="60">
        <v>44160</v>
      </c>
      <c r="G678" s="47">
        <v>80.122237999999996</v>
      </c>
      <c r="H678" s="55">
        <f t="shared" si="21"/>
        <v>-6.0096979910971788E-4</v>
      </c>
    </row>
    <row r="679" spans="2:8">
      <c r="B679" s="54">
        <v>44162</v>
      </c>
      <c r="C679" s="46">
        <v>74.599997999999999</v>
      </c>
      <c r="D679" s="55">
        <f t="shared" si="20"/>
        <v>-8.9012757633031951E-3</v>
      </c>
      <c r="F679" s="60">
        <v>44162</v>
      </c>
      <c r="G679" s="47">
        <v>80.421042999999997</v>
      </c>
      <c r="H679" s="55">
        <f t="shared" si="21"/>
        <v>3.7293641248513495E-3</v>
      </c>
    </row>
    <row r="680" spans="2:8">
      <c r="B680" s="54">
        <v>44165</v>
      </c>
      <c r="C680" s="46">
        <v>72.370002999999997</v>
      </c>
      <c r="D680" s="55">
        <f t="shared" si="20"/>
        <v>-2.9892695171385961E-2</v>
      </c>
      <c r="F680" s="60">
        <v>44165</v>
      </c>
      <c r="G680" s="47">
        <v>79.939071999999996</v>
      </c>
      <c r="H680" s="55">
        <f t="shared" si="21"/>
        <v>-5.9930956130474647E-3</v>
      </c>
    </row>
    <row r="681" spans="2:8">
      <c r="B681" s="54">
        <v>44166</v>
      </c>
      <c r="C681" s="46">
        <v>72.470000999999996</v>
      </c>
      <c r="D681" s="55">
        <f t="shared" si="20"/>
        <v>1.3817603406759478E-3</v>
      </c>
      <c r="F681" s="60">
        <v>44166</v>
      </c>
      <c r="G681" s="47">
        <v>80.787330999999995</v>
      </c>
      <c r="H681" s="55">
        <f t="shared" si="21"/>
        <v>1.0611319080611779E-2</v>
      </c>
    </row>
    <row r="682" spans="2:8">
      <c r="B682" s="54">
        <v>44167</v>
      </c>
      <c r="C682" s="46">
        <v>72.709998999999996</v>
      </c>
      <c r="D682" s="55">
        <f t="shared" si="20"/>
        <v>3.3116875491694827E-3</v>
      </c>
      <c r="F682" s="60">
        <v>44167</v>
      </c>
      <c r="G682" s="47">
        <v>80.893371999999999</v>
      </c>
      <c r="H682" s="55">
        <f t="shared" si="21"/>
        <v>1.3125944215189474E-3</v>
      </c>
    </row>
    <row r="683" spans="2:8">
      <c r="B683" s="54">
        <v>44168</v>
      </c>
      <c r="C683" s="46">
        <v>74.220000999999996</v>
      </c>
      <c r="D683" s="55">
        <f t="shared" si="20"/>
        <v>2.0767460057316191E-2</v>
      </c>
      <c r="F683" s="60">
        <v>44168</v>
      </c>
      <c r="G683" s="47">
        <v>81.037955999999994</v>
      </c>
      <c r="H683" s="55">
        <f t="shared" si="21"/>
        <v>1.7873405005294466E-3</v>
      </c>
    </row>
    <row r="684" spans="2:8">
      <c r="B684" s="54">
        <v>44169</v>
      </c>
      <c r="C684" s="46">
        <v>75.730002999999996</v>
      </c>
      <c r="D684" s="55">
        <f t="shared" si="20"/>
        <v>2.0344947179399796E-2</v>
      </c>
      <c r="F684" s="60">
        <v>44169</v>
      </c>
      <c r="G684" s="47">
        <v>81.847678999999999</v>
      </c>
      <c r="H684" s="55">
        <f t="shared" si="21"/>
        <v>9.991898117469861E-3</v>
      </c>
    </row>
    <row r="685" spans="2:8">
      <c r="B685" s="54">
        <v>44172</v>
      </c>
      <c r="C685" s="46">
        <v>74.440002000000007</v>
      </c>
      <c r="D685" s="55">
        <f t="shared" si="20"/>
        <v>-1.7034212978969374E-2</v>
      </c>
      <c r="F685" s="60">
        <v>44172</v>
      </c>
      <c r="G685" s="47">
        <v>81.780181999999996</v>
      </c>
      <c r="H685" s="55">
        <f t="shared" si="21"/>
        <v>-8.246660238221664E-4</v>
      </c>
    </row>
    <row r="686" spans="2:8">
      <c r="B686" s="54">
        <v>44173</v>
      </c>
      <c r="C686" s="46">
        <v>74.519997000000004</v>
      </c>
      <c r="D686" s="55">
        <f t="shared" si="20"/>
        <v>1.0746238292685256E-3</v>
      </c>
      <c r="F686" s="60">
        <v>44173</v>
      </c>
      <c r="G686" s="47">
        <v>82.117569000000003</v>
      </c>
      <c r="H686" s="55">
        <f t="shared" si="21"/>
        <v>4.1255349615143527E-3</v>
      </c>
    </row>
    <row r="687" spans="2:8">
      <c r="B687" s="54">
        <v>44174</v>
      </c>
      <c r="C687" s="46">
        <v>74.330001999999993</v>
      </c>
      <c r="D687" s="55">
        <f t="shared" si="20"/>
        <v>-2.5495841069345499E-3</v>
      </c>
      <c r="F687" s="60">
        <v>44174</v>
      </c>
      <c r="G687" s="47">
        <v>81.240386999999998</v>
      </c>
      <c r="H687" s="55">
        <f t="shared" si="21"/>
        <v>-1.0682025913358501E-2</v>
      </c>
    </row>
    <row r="688" spans="2:8">
      <c r="B688" s="54">
        <v>44175</v>
      </c>
      <c r="C688" s="46">
        <v>74.580001999999993</v>
      </c>
      <c r="D688" s="55">
        <f t="shared" si="20"/>
        <v>3.3633794332468877E-3</v>
      </c>
      <c r="F688" s="60">
        <v>44175</v>
      </c>
      <c r="G688" s="47">
        <v>81.394630000000006</v>
      </c>
      <c r="H688" s="55">
        <f t="shared" si="21"/>
        <v>1.8986000152856008E-3</v>
      </c>
    </row>
    <row r="689" spans="2:8">
      <c r="B689" s="54">
        <v>44176</v>
      </c>
      <c r="C689" s="46">
        <v>72.75</v>
      </c>
      <c r="D689" s="55">
        <f t="shared" si="20"/>
        <v>-2.4537435651986083E-2</v>
      </c>
      <c r="F689" s="60">
        <v>44176</v>
      </c>
      <c r="G689" s="47">
        <v>81.307877000000005</v>
      </c>
      <c r="H689" s="55">
        <f t="shared" si="21"/>
        <v>-1.0658319842476295E-3</v>
      </c>
    </row>
    <row r="690" spans="2:8">
      <c r="B690" s="54">
        <v>44179</v>
      </c>
      <c r="C690" s="46">
        <v>72.099997999999999</v>
      </c>
      <c r="D690" s="55">
        <f t="shared" si="20"/>
        <v>-8.9347353951890127E-3</v>
      </c>
      <c r="F690" s="60">
        <v>44179</v>
      </c>
      <c r="G690" s="47">
        <v>81.058166999999997</v>
      </c>
      <c r="H690" s="55">
        <f t="shared" si="21"/>
        <v>-3.0711661552792406E-3</v>
      </c>
    </row>
    <row r="691" spans="2:8">
      <c r="B691" s="54">
        <v>44180</v>
      </c>
      <c r="C691" s="46">
        <v>72.989998</v>
      </c>
      <c r="D691" s="55">
        <f t="shared" si="20"/>
        <v>1.2343967055311161E-2</v>
      </c>
      <c r="F691" s="60">
        <v>44180</v>
      </c>
      <c r="G691" s="47">
        <v>82.200241000000005</v>
      </c>
      <c r="H691" s="55">
        <f t="shared" si="21"/>
        <v>1.4089561141939072E-2</v>
      </c>
    </row>
    <row r="692" spans="2:8">
      <c r="B692" s="54">
        <v>44181</v>
      </c>
      <c r="C692" s="46">
        <v>72.739998</v>
      </c>
      <c r="D692" s="55">
        <f t="shared" si="20"/>
        <v>-3.4251268235409461E-3</v>
      </c>
      <c r="F692" s="60">
        <v>44181</v>
      </c>
      <c r="G692" s="47">
        <v>82.297011999999995</v>
      </c>
      <c r="H692" s="55">
        <f t="shared" si="21"/>
        <v>1.1772593221471177E-3</v>
      </c>
    </row>
    <row r="693" spans="2:8">
      <c r="B693" s="54">
        <v>44182</v>
      </c>
      <c r="C693" s="46">
        <v>73.379997000000003</v>
      </c>
      <c r="D693" s="55">
        <f t="shared" si="20"/>
        <v>8.798446763773669E-3</v>
      </c>
      <c r="F693" s="60">
        <v>44182</v>
      </c>
      <c r="G693" s="47">
        <v>82.906784000000002</v>
      </c>
      <c r="H693" s="55">
        <f t="shared" si="21"/>
        <v>7.4094063099156829E-3</v>
      </c>
    </row>
    <row r="694" spans="2:8">
      <c r="B694" s="54">
        <v>44183</v>
      </c>
      <c r="C694" s="46">
        <v>73.989998</v>
      </c>
      <c r="D694" s="55">
        <f t="shared" si="20"/>
        <v>8.312905763678307E-3</v>
      </c>
      <c r="F694" s="60">
        <v>44183</v>
      </c>
      <c r="G694" s="47">
        <v>82.713202999999993</v>
      </c>
      <c r="H694" s="55">
        <f t="shared" si="21"/>
        <v>-2.3349235208545644E-3</v>
      </c>
    </row>
    <row r="695" spans="2:8">
      <c r="B695" s="54">
        <v>44186</v>
      </c>
      <c r="C695" s="46">
        <v>73.790001000000004</v>
      </c>
      <c r="D695" s="55">
        <f t="shared" si="20"/>
        <v>-2.7030275092046387E-3</v>
      </c>
      <c r="F695" s="60">
        <v>44186</v>
      </c>
      <c r="G695" s="47">
        <v>82.500275000000002</v>
      </c>
      <c r="H695" s="55">
        <f t="shared" si="21"/>
        <v>-2.5742927643606175E-3</v>
      </c>
    </row>
    <row r="696" spans="2:8">
      <c r="B696" s="54">
        <v>44187</v>
      </c>
      <c r="C696" s="46">
        <v>74.319999999999993</v>
      </c>
      <c r="D696" s="55">
        <f t="shared" si="20"/>
        <v>7.1825314109968562E-3</v>
      </c>
      <c r="F696" s="60">
        <v>44187</v>
      </c>
      <c r="G696" s="47">
        <v>82.519638</v>
      </c>
      <c r="H696" s="55">
        <f t="shared" si="21"/>
        <v>2.3470224796218514E-4</v>
      </c>
    </row>
    <row r="697" spans="2:8">
      <c r="B697" s="54">
        <v>44188</v>
      </c>
      <c r="C697" s="46">
        <v>75.260002</v>
      </c>
      <c r="D697" s="55">
        <f t="shared" si="20"/>
        <v>1.2648035522066833E-2</v>
      </c>
      <c r="F697" s="60">
        <v>44188</v>
      </c>
      <c r="G697" s="47">
        <v>82.606728000000004</v>
      </c>
      <c r="H697" s="55">
        <f t="shared" si="21"/>
        <v>1.0553851435945883E-3</v>
      </c>
    </row>
    <row r="698" spans="2:8">
      <c r="B698" s="54">
        <v>44189</v>
      </c>
      <c r="C698" s="46">
        <v>75.300003000000004</v>
      </c>
      <c r="D698" s="55">
        <f t="shared" si="20"/>
        <v>5.315041049295179E-4</v>
      </c>
      <c r="F698" s="60">
        <v>44189</v>
      </c>
      <c r="G698" s="47">
        <v>82.780945000000003</v>
      </c>
      <c r="H698" s="55">
        <f t="shared" si="21"/>
        <v>2.1089928655689972E-3</v>
      </c>
    </row>
    <row r="699" spans="2:8">
      <c r="B699" s="54">
        <v>44193</v>
      </c>
      <c r="C699" s="46">
        <v>76.139999000000003</v>
      </c>
      <c r="D699" s="55">
        <f t="shared" si="20"/>
        <v>1.1155324920770577E-2</v>
      </c>
      <c r="F699" s="60">
        <v>44193</v>
      </c>
      <c r="G699" s="47">
        <v>83.216498999999999</v>
      </c>
      <c r="H699" s="55">
        <f t="shared" si="21"/>
        <v>5.2615248593742949E-3</v>
      </c>
    </row>
    <row r="700" spans="2:8">
      <c r="B700" s="54">
        <v>44194</v>
      </c>
      <c r="C700" s="46">
        <v>74.809997999999993</v>
      </c>
      <c r="D700" s="55">
        <f t="shared" si="20"/>
        <v>-1.7467835795479981E-2</v>
      </c>
      <c r="F700" s="60">
        <v>44194</v>
      </c>
      <c r="G700" s="47">
        <v>82.906784000000002</v>
      </c>
      <c r="H700" s="55">
        <f t="shared" si="21"/>
        <v>-3.7217980054652031E-3</v>
      </c>
    </row>
    <row r="701" spans="2:8">
      <c r="B701" s="54">
        <v>44195</v>
      </c>
      <c r="C701" s="46">
        <v>75.25</v>
      </c>
      <c r="D701" s="55">
        <f t="shared" si="20"/>
        <v>5.8815935271112679E-3</v>
      </c>
      <c r="F701" s="60">
        <v>44195</v>
      </c>
      <c r="G701" s="47">
        <v>83.110031000000006</v>
      </c>
      <c r="H701" s="55">
        <f t="shared" si="21"/>
        <v>2.4515122912017019E-3</v>
      </c>
    </row>
    <row r="702" spans="2:8">
      <c r="B702" s="54">
        <v>44196</v>
      </c>
      <c r="C702" s="46">
        <v>76.099997999999999</v>
      </c>
      <c r="D702" s="55">
        <f t="shared" si="20"/>
        <v>1.1295654485049825E-2</v>
      </c>
      <c r="F702" s="60">
        <v>44196</v>
      </c>
      <c r="G702" s="47">
        <v>83.448775999999995</v>
      </c>
      <c r="H702" s="55">
        <f t="shared" si="21"/>
        <v>4.0758617933855509E-3</v>
      </c>
    </row>
    <row r="703" spans="2:8">
      <c r="B703" s="54">
        <v>44200</v>
      </c>
      <c r="C703" s="46">
        <v>74.709998999999996</v>
      </c>
      <c r="D703" s="55">
        <f t="shared" si="20"/>
        <v>-1.8265427549682762E-2</v>
      </c>
      <c r="F703" s="60">
        <v>44200</v>
      </c>
      <c r="G703" s="47">
        <v>82.384131999999994</v>
      </c>
      <c r="H703" s="55">
        <f t="shared" si="21"/>
        <v>-1.2758054114538496E-2</v>
      </c>
    </row>
    <row r="704" spans="2:8">
      <c r="B704" s="54">
        <v>44201</v>
      </c>
      <c r="C704" s="46">
        <v>77.230002999999996</v>
      </c>
      <c r="D704" s="55">
        <f t="shared" si="20"/>
        <v>3.3730478299163147E-2</v>
      </c>
      <c r="F704" s="60">
        <v>44201</v>
      </c>
      <c r="G704" s="47">
        <v>83.003555000000006</v>
      </c>
      <c r="H704" s="55">
        <f t="shared" si="21"/>
        <v>7.5187173180390112E-3</v>
      </c>
    </row>
    <row r="705" spans="2:8">
      <c r="B705" s="54">
        <v>44202</v>
      </c>
      <c r="C705" s="46">
        <v>81.900002000000001</v>
      </c>
      <c r="D705" s="55">
        <f t="shared" si="20"/>
        <v>6.0468714470980976E-2</v>
      </c>
      <c r="F705" s="60">
        <v>44202</v>
      </c>
      <c r="G705" s="47">
        <v>83.758492000000004</v>
      </c>
      <c r="H705" s="55">
        <f t="shared" si="21"/>
        <v>9.0952369449717931E-3</v>
      </c>
    </row>
    <row r="706" spans="2:8">
      <c r="B706" s="54">
        <v>44203</v>
      </c>
      <c r="C706" s="46">
        <v>82.75</v>
      </c>
      <c r="D706" s="55">
        <f t="shared" si="20"/>
        <v>1.0378485705043076E-2</v>
      </c>
      <c r="F706" s="60">
        <v>44203</v>
      </c>
      <c r="G706" s="47">
        <v>85.036072000000004</v>
      </c>
      <c r="H706" s="55">
        <f t="shared" si="21"/>
        <v>1.5253139944305591E-2</v>
      </c>
    </row>
    <row r="707" spans="2:8">
      <c r="B707" s="54">
        <v>44204</v>
      </c>
      <c r="C707" s="46">
        <v>81.989998</v>
      </c>
      <c r="D707" s="55">
        <f t="shared" si="20"/>
        <v>-9.1843141993957714E-3</v>
      </c>
      <c r="F707" s="60">
        <v>44204</v>
      </c>
      <c r="G707" s="47">
        <v>85.442565999999999</v>
      </c>
      <c r="H707" s="55">
        <f t="shared" si="21"/>
        <v>4.7802537257364735E-3</v>
      </c>
    </row>
    <row r="708" spans="2:8">
      <c r="B708" s="54">
        <v>44207</v>
      </c>
      <c r="C708" s="46">
        <v>82.040001000000004</v>
      </c>
      <c r="D708" s="55">
        <f t="shared" si="20"/>
        <v>6.0986707183483273E-4</v>
      </c>
      <c r="F708" s="60">
        <v>44207</v>
      </c>
      <c r="G708" s="47">
        <v>84.987662999999998</v>
      </c>
      <c r="H708" s="55">
        <f t="shared" si="21"/>
        <v>-5.3240793353514409E-3</v>
      </c>
    </row>
    <row r="709" spans="2:8">
      <c r="B709" s="54">
        <v>44208</v>
      </c>
      <c r="C709" s="46">
        <v>83.139999000000003</v>
      </c>
      <c r="D709" s="55">
        <f t="shared" si="20"/>
        <v>1.3408069071086425E-2</v>
      </c>
      <c r="F709" s="60">
        <v>44208</v>
      </c>
      <c r="G709" s="47">
        <v>85.239304000000004</v>
      </c>
      <c r="H709" s="55">
        <f t="shared" si="21"/>
        <v>2.9609121032073381E-3</v>
      </c>
    </row>
    <row r="710" spans="2:8">
      <c r="B710" s="54">
        <v>44209</v>
      </c>
      <c r="C710" s="46">
        <v>81.290001000000004</v>
      </c>
      <c r="D710" s="55">
        <f t="shared" ref="D710:D773" si="22">(C710-C709)/C709</f>
        <v>-2.2251599978970402E-2</v>
      </c>
      <c r="F710" s="60">
        <v>44209</v>
      </c>
      <c r="G710" s="47">
        <v>85.316733999999997</v>
      </c>
      <c r="H710" s="55">
        <f t="shared" ref="H710:H773" si="23">(G710-G709)/G709</f>
        <v>9.0838376624934145E-4</v>
      </c>
    </row>
    <row r="711" spans="2:8">
      <c r="B711" s="54">
        <v>44210</v>
      </c>
      <c r="C711" s="46">
        <v>81.949996999999996</v>
      </c>
      <c r="D711" s="55">
        <f t="shared" si="22"/>
        <v>8.1190305311964802E-3</v>
      </c>
      <c r="F711" s="60">
        <v>44210</v>
      </c>
      <c r="G711" s="47">
        <v>85.307060000000007</v>
      </c>
      <c r="H711" s="55">
        <f t="shared" si="23"/>
        <v>-1.1338924436546934E-4</v>
      </c>
    </row>
    <row r="712" spans="2:8">
      <c r="B712" s="54">
        <v>44211</v>
      </c>
      <c r="C712" s="46">
        <v>81.690002000000007</v>
      </c>
      <c r="D712" s="55">
        <f t="shared" si="22"/>
        <v>-3.1726053632435071E-3</v>
      </c>
      <c r="F712" s="60">
        <v>44211</v>
      </c>
      <c r="G712" s="47">
        <v>84.590857999999997</v>
      </c>
      <c r="H712" s="55">
        <f t="shared" si="23"/>
        <v>-8.395577106982818E-3</v>
      </c>
    </row>
    <row r="713" spans="2:8">
      <c r="B713" s="54">
        <v>44215</v>
      </c>
      <c r="C713" s="46">
        <v>81.419998000000007</v>
      </c>
      <c r="D713" s="55">
        <f t="shared" si="22"/>
        <v>-3.3052269970565078E-3</v>
      </c>
      <c r="F713" s="60">
        <v>44215</v>
      </c>
      <c r="G713" s="47">
        <v>85.307060000000007</v>
      </c>
      <c r="H713" s="55">
        <f t="shared" si="23"/>
        <v>8.4666596004973702E-3</v>
      </c>
    </row>
    <row r="714" spans="2:8">
      <c r="B714" s="54">
        <v>44216</v>
      </c>
      <c r="C714" s="46">
        <v>82.510002</v>
      </c>
      <c r="D714" s="55">
        <f t="shared" si="22"/>
        <v>1.338742356638222E-2</v>
      </c>
      <c r="F714" s="60">
        <v>44216</v>
      </c>
      <c r="G714" s="47">
        <v>86.362037999999998</v>
      </c>
      <c r="H714" s="55">
        <f t="shared" si="23"/>
        <v>1.2366831068846954E-2</v>
      </c>
    </row>
    <row r="715" spans="2:8">
      <c r="B715" s="54">
        <v>44217</v>
      </c>
      <c r="C715" s="46">
        <v>82.879997000000003</v>
      </c>
      <c r="D715" s="55">
        <f t="shared" si="22"/>
        <v>4.484244225324379E-3</v>
      </c>
      <c r="F715" s="60">
        <v>44217</v>
      </c>
      <c r="G715" s="47">
        <v>86.284606999999994</v>
      </c>
      <c r="H715" s="55">
        <f t="shared" si="23"/>
        <v>-8.965860671329253E-4</v>
      </c>
    </row>
    <row r="716" spans="2:8">
      <c r="B716" s="54">
        <v>44218</v>
      </c>
      <c r="C716" s="46">
        <v>83.830001999999993</v>
      </c>
      <c r="D716" s="55">
        <f t="shared" si="22"/>
        <v>1.1462415955444475E-2</v>
      </c>
      <c r="F716" s="60">
        <v>44218</v>
      </c>
      <c r="G716" s="47">
        <v>86.187820000000002</v>
      </c>
      <c r="H716" s="55">
        <f t="shared" si="23"/>
        <v>-1.1217180371464399E-3</v>
      </c>
    </row>
    <row r="717" spans="2:8">
      <c r="B717" s="54">
        <v>44221</v>
      </c>
      <c r="C717" s="46">
        <v>81.730002999999996</v>
      </c>
      <c r="D717" s="55">
        <f t="shared" si="22"/>
        <v>-2.5050685314310227E-2</v>
      </c>
      <c r="F717" s="60">
        <v>44221</v>
      </c>
      <c r="G717" s="47">
        <v>86.468491</v>
      </c>
      <c r="H717" s="55">
        <f t="shared" si="23"/>
        <v>3.2565042253069878E-3</v>
      </c>
    </row>
    <row r="718" spans="2:8">
      <c r="B718" s="54">
        <v>44222</v>
      </c>
      <c r="C718" s="46">
        <v>79.339995999999999</v>
      </c>
      <c r="D718" s="55">
        <f t="shared" si="22"/>
        <v>-2.924271274038736E-2</v>
      </c>
      <c r="F718" s="60">
        <v>44222</v>
      </c>
      <c r="G718" s="47">
        <v>86.178130999999993</v>
      </c>
      <c r="H718" s="55">
        <f t="shared" si="23"/>
        <v>-3.3579862056342213E-3</v>
      </c>
    </row>
    <row r="719" spans="2:8">
      <c r="B719" s="54">
        <v>44223</v>
      </c>
      <c r="C719" s="46">
        <v>78.480002999999996</v>
      </c>
      <c r="D719" s="55">
        <f t="shared" si="22"/>
        <v>-1.0839337576976976E-2</v>
      </c>
      <c r="F719" s="60">
        <v>44223</v>
      </c>
      <c r="G719" s="47">
        <v>84.029480000000007</v>
      </c>
      <c r="H719" s="55">
        <f t="shared" si="23"/>
        <v>-2.4932671143680141E-2</v>
      </c>
    </row>
    <row r="720" spans="2:8">
      <c r="B720" s="54">
        <v>44224</v>
      </c>
      <c r="C720" s="46">
        <v>79.569999999999993</v>
      </c>
      <c r="D720" s="55">
        <f t="shared" si="22"/>
        <v>1.3888850131669806E-2</v>
      </c>
      <c r="F720" s="60">
        <v>44224</v>
      </c>
      <c r="G720" s="47">
        <v>84.794105999999999</v>
      </c>
      <c r="H720" s="55">
        <f t="shared" si="23"/>
        <v>9.0994969860576629E-3</v>
      </c>
    </row>
    <row r="721" spans="2:8">
      <c r="B721" s="54">
        <v>44225</v>
      </c>
      <c r="C721" s="46">
        <v>77.459998999999996</v>
      </c>
      <c r="D721" s="55">
        <f t="shared" si="22"/>
        <v>-2.6517544300615772E-2</v>
      </c>
      <c r="F721" s="60">
        <v>44225</v>
      </c>
      <c r="G721" s="47">
        <v>83.226157999999998</v>
      </c>
      <c r="H721" s="55">
        <f t="shared" si="23"/>
        <v>-1.8491238058456577E-2</v>
      </c>
    </row>
    <row r="722" spans="2:8">
      <c r="B722" s="54">
        <v>44228</v>
      </c>
      <c r="C722" s="46">
        <v>79.379997000000003</v>
      </c>
      <c r="D722" s="55">
        <f t="shared" si="22"/>
        <v>2.4786961332132304E-2</v>
      </c>
      <c r="F722" s="60">
        <v>44228</v>
      </c>
      <c r="G722" s="47">
        <v>84.658591999999999</v>
      </c>
      <c r="H722" s="55">
        <f t="shared" si="23"/>
        <v>1.7211343577820819E-2</v>
      </c>
    </row>
    <row r="723" spans="2:8">
      <c r="B723" s="54">
        <v>44229</v>
      </c>
      <c r="C723" s="46">
        <v>81</v>
      </c>
      <c r="D723" s="55">
        <f t="shared" si="22"/>
        <v>2.0408201829486047E-2</v>
      </c>
      <c r="F723" s="60">
        <v>44229</v>
      </c>
      <c r="G723" s="47">
        <v>85.829704000000007</v>
      </c>
      <c r="H723" s="55">
        <f t="shared" si="23"/>
        <v>1.3833350783816579E-2</v>
      </c>
    </row>
    <row r="724" spans="2:8">
      <c r="B724" s="54">
        <v>44230</v>
      </c>
      <c r="C724" s="46">
        <v>80.660004000000001</v>
      </c>
      <c r="D724" s="55">
        <f t="shared" si="22"/>
        <v>-4.197481481481473E-3</v>
      </c>
      <c r="F724" s="60">
        <v>44230</v>
      </c>
      <c r="G724" s="47">
        <v>85.994247000000001</v>
      </c>
      <c r="H724" s="55">
        <f t="shared" si="23"/>
        <v>1.9170868863767113E-3</v>
      </c>
    </row>
    <row r="725" spans="2:8">
      <c r="B725" s="54">
        <v>44231</v>
      </c>
      <c r="C725" s="46">
        <v>81.660004000000001</v>
      </c>
      <c r="D725" s="55">
        <f t="shared" si="22"/>
        <v>1.2397718204923471E-2</v>
      </c>
      <c r="F725" s="60">
        <v>44231</v>
      </c>
      <c r="G725" s="47">
        <v>87.000816</v>
      </c>
      <c r="H725" s="55">
        <f t="shared" si="23"/>
        <v>1.1705073712663581E-2</v>
      </c>
    </row>
    <row r="726" spans="2:8">
      <c r="B726" s="54">
        <v>44232</v>
      </c>
      <c r="C726" s="46">
        <v>81.889999000000003</v>
      </c>
      <c r="D726" s="55">
        <f t="shared" si="22"/>
        <v>2.8164950861379137E-3</v>
      </c>
      <c r="F726" s="60">
        <v>44232</v>
      </c>
      <c r="G726" s="47">
        <v>87.52346</v>
      </c>
      <c r="H726" s="55">
        <f t="shared" si="23"/>
        <v>6.007345954088519E-3</v>
      </c>
    </row>
    <row r="727" spans="2:8">
      <c r="B727" s="54">
        <v>44235</v>
      </c>
      <c r="C727" s="46">
        <v>84.459998999999996</v>
      </c>
      <c r="D727" s="55">
        <f t="shared" si="22"/>
        <v>3.1383563699884681E-2</v>
      </c>
      <c r="F727" s="60">
        <v>44235</v>
      </c>
      <c r="G727" s="47">
        <v>88.297752000000003</v>
      </c>
      <c r="H727" s="55">
        <f t="shared" si="23"/>
        <v>8.8466795074143845E-3</v>
      </c>
    </row>
    <row r="728" spans="2:8">
      <c r="B728" s="54">
        <v>44236</v>
      </c>
      <c r="C728" s="46">
        <v>84.879997000000003</v>
      </c>
      <c r="D728" s="55">
        <f t="shared" si="22"/>
        <v>4.9727445533122349E-3</v>
      </c>
      <c r="F728" s="60">
        <v>44236</v>
      </c>
      <c r="G728" s="47">
        <v>88.394547000000003</v>
      </c>
      <c r="H728" s="55">
        <f t="shared" si="23"/>
        <v>1.0962340241685903E-3</v>
      </c>
    </row>
    <row r="729" spans="2:8">
      <c r="B729" s="54">
        <v>44237</v>
      </c>
      <c r="C729" s="46">
        <v>85.559997999999993</v>
      </c>
      <c r="D729" s="55">
        <f t="shared" si="22"/>
        <v>8.0113221493161701E-3</v>
      </c>
      <c r="F729" s="60">
        <v>44237</v>
      </c>
      <c r="G729" s="47">
        <v>88.365500999999995</v>
      </c>
      <c r="H729" s="55">
        <f t="shared" si="23"/>
        <v>-3.2859493018283265E-4</v>
      </c>
    </row>
    <row r="730" spans="2:8">
      <c r="B730" s="54">
        <v>44238</v>
      </c>
      <c r="C730" s="46">
        <v>85.089995999999999</v>
      </c>
      <c r="D730" s="55">
        <f t="shared" si="22"/>
        <v>-5.4932446351856372E-3</v>
      </c>
      <c r="F730" s="60">
        <v>44238</v>
      </c>
      <c r="G730" s="47">
        <v>88.568747999999999</v>
      </c>
      <c r="H730" s="55">
        <f t="shared" si="23"/>
        <v>2.3000718345953207E-3</v>
      </c>
    </row>
    <row r="731" spans="2:8">
      <c r="B731" s="54">
        <v>44239</v>
      </c>
      <c r="C731" s="46">
        <v>85.419998000000007</v>
      </c>
      <c r="D731" s="55">
        <f t="shared" si="22"/>
        <v>3.8782702493017798E-3</v>
      </c>
      <c r="F731" s="60">
        <v>44239</v>
      </c>
      <c r="G731" s="47">
        <v>88.936531000000002</v>
      </c>
      <c r="H731" s="55">
        <f t="shared" si="23"/>
        <v>4.1525143835159876E-3</v>
      </c>
    </row>
    <row r="732" spans="2:8">
      <c r="B732" s="54">
        <v>44243</v>
      </c>
      <c r="C732" s="46">
        <v>85.260002</v>
      </c>
      <c r="D732" s="55">
        <f t="shared" si="22"/>
        <v>-1.8730508516285223E-3</v>
      </c>
      <c r="F732" s="60">
        <v>44243</v>
      </c>
      <c r="G732" s="47">
        <v>88.868781999999996</v>
      </c>
      <c r="H732" s="55">
        <f t="shared" si="23"/>
        <v>-7.6176796236865005E-4</v>
      </c>
    </row>
    <row r="733" spans="2:8">
      <c r="B733" s="54">
        <v>44244</v>
      </c>
      <c r="C733" s="46">
        <v>83.669998000000007</v>
      </c>
      <c r="D733" s="55">
        <f t="shared" si="22"/>
        <v>-1.8648885323741763E-2</v>
      </c>
      <c r="F733" s="60">
        <v>44244</v>
      </c>
      <c r="G733" s="47">
        <v>88.733292000000006</v>
      </c>
      <c r="H733" s="55">
        <f t="shared" si="23"/>
        <v>-1.5246073699985009E-3</v>
      </c>
    </row>
    <row r="734" spans="2:8">
      <c r="B734" s="54">
        <v>44245</v>
      </c>
      <c r="C734" s="46">
        <v>82.610000999999997</v>
      </c>
      <c r="D734" s="55">
        <f t="shared" si="22"/>
        <v>-1.2668782423061726E-2</v>
      </c>
      <c r="F734" s="60">
        <v>44245</v>
      </c>
      <c r="G734" s="47">
        <v>88.220329000000007</v>
      </c>
      <c r="H734" s="55">
        <f t="shared" si="23"/>
        <v>-5.7809531060788229E-3</v>
      </c>
    </row>
    <row r="735" spans="2:8">
      <c r="B735" s="54">
        <v>44246</v>
      </c>
      <c r="C735" s="46">
        <v>84.699996999999996</v>
      </c>
      <c r="D735" s="55">
        <f t="shared" si="22"/>
        <v>2.5299551806082163E-2</v>
      </c>
      <c r="F735" s="60">
        <v>44246</v>
      </c>
      <c r="G735" s="47">
        <v>88.365500999999995</v>
      </c>
      <c r="H735" s="55">
        <f t="shared" si="23"/>
        <v>1.6455617616205906E-3</v>
      </c>
    </row>
    <row r="736" spans="2:8">
      <c r="B736" s="54">
        <v>44249</v>
      </c>
      <c r="C736" s="46">
        <v>85.389999000000003</v>
      </c>
      <c r="D736" s="55">
        <f t="shared" si="22"/>
        <v>8.1464229567801156E-3</v>
      </c>
      <c r="F736" s="60">
        <v>44249</v>
      </c>
      <c r="G736" s="47">
        <v>87.542809000000005</v>
      </c>
      <c r="H736" s="55">
        <f t="shared" si="23"/>
        <v>-9.3101039510882118E-3</v>
      </c>
    </row>
    <row r="737" spans="2:8">
      <c r="B737" s="54">
        <v>44250</v>
      </c>
      <c r="C737" s="46">
        <v>86.650002000000001</v>
      </c>
      <c r="D737" s="55">
        <f t="shared" si="22"/>
        <v>1.4755861514882996E-2</v>
      </c>
      <c r="F737" s="60">
        <v>44250</v>
      </c>
      <c r="G737" s="47">
        <v>87.465393000000006</v>
      </c>
      <c r="H737" s="55">
        <f t="shared" si="23"/>
        <v>-8.8432163514423536E-4</v>
      </c>
    </row>
    <row r="738" spans="2:8">
      <c r="B738" s="54">
        <v>44251</v>
      </c>
      <c r="C738" s="46">
        <v>89.169998000000007</v>
      </c>
      <c r="D738" s="55">
        <f t="shared" si="22"/>
        <v>2.9082469034449717E-2</v>
      </c>
      <c r="F738" s="60">
        <v>44251</v>
      </c>
      <c r="G738" s="47">
        <v>88.510666000000001</v>
      </c>
      <c r="H738" s="55">
        <f t="shared" si="23"/>
        <v>1.1950703748624265E-2</v>
      </c>
    </row>
    <row r="739" spans="2:8">
      <c r="B739" s="54">
        <v>44252</v>
      </c>
      <c r="C739" s="46">
        <v>86.970000999999996</v>
      </c>
      <c r="D739" s="55">
        <f t="shared" si="22"/>
        <v>-2.4671941789210429E-2</v>
      </c>
      <c r="F739" s="60">
        <v>44252</v>
      </c>
      <c r="G739" s="47">
        <v>86.168448999999995</v>
      </c>
      <c r="H739" s="55">
        <f t="shared" si="23"/>
        <v>-2.6462539554272534E-2</v>
      </c>
    </row>
    <row r="740" spans="2:8">
      <c r="B740" s="54">
        <v>44253</v>
      </c>
      <c r="C740" s="46">
        <v>85.150002000000001</v>
      </c>
      <c r="D740" s="55">
        <f t="shared" si="22"/>
        <v>-2.0926744613927229E-2</v>
      </c>
      <c r="F740" s="60">
        <v>44253</v>
      </c>
      <c r="G740" s="47">
        <v>85.858742000000007</v>
      </c>
      <c r="H740" s="55">
        <f t="shared" si="23"/>
        <v>-3.59420418487501E-3</v>
      </c>
    </row>
    <row r="741" spans="2:8">
      <c r="B741" s="54">
        <v>44256</v>
      </c>
      <c r="C741" s="46">
        <v>87.220000999999996</v>
      </c>
      <c r="D741" s="55">
        <f t="shared" si="22"/>
        <v>2.431002878895993E-2</v>
      </c>
      <c r="F741" s="60">
        <v>44256</v>
      </c>
      <c r="G741" s="47">
        <v>88.046111999999994</v>
      </c>
      <c r="H741" s="55">
        <f t="shared" si="23"/>
        <v>2.5476380727777109E-2</v>
      </c>
    </row>
    <row r="742" spans="2:8">
      <c r="B742" s="54">
        <v>44257</v>
      </c>
      <c r="C742" s="46">
        <v>84.300003000000004</v>
      </c>
      <c r="D742" s="55">
        <f t="shared" si="22"/>
        <v>-3.3478536648950424E-2</v>
      </c>
      <c r="F742" s="60">
        <v>44257</v>
      </c>
      <c r="G742" s="47">
        <v>87.175033999999997</v>
      </c>
      <c r="H742" s="55">
        <f t="shared" si="23"/>
        <v>-9.8934294793164429E-3</v>
      </c>
    </row>
    <row r="743" spans="2:8">
      <c r="B743" s="54">
        <v>44258</v>
      </c>
      <c r="C743" s="46">
        <v>85.870002999999997</v>
      </c>
      <c r="D743" s="55">
        <f t="shared" si="22"/>
        <v>1.8623961377557639E-2</v>
      </c>
      <c r="F743" s="60">
        <v>44258</v>
      </c>
      <c r="G743" s="47">
        <v>85.955521000000005</v>
      </c>
      <c r="H743" s="55">
        <f t="shared" si="23"/>
        <v>-1.3989246049505322E-2</v>
      </c>
    </row>
    <row r="744" spans="2:8">
      <c r="B744" s="54">
        <v>44259</v>
      </c>
      <c r="C744" s="46">
        <v>85.419998000000007</v>
      </c>
      <c r="D744" s="55">
        <f t="shared" si="22"/>
        <v>-5.2405378395059595E-3</v>
      </c>
      <c r="F744" s="60">
        <v>44259</v>
      </c>
      <c r="G744" s="47">
        <v>84.590857999999997</v>
      </c>
      <c r="H744" s="55">
        <f t="shared" si="23"/>
        <v>-1.5876385648340229E-2</v>
      </c>
    </row>
    <row r="745" spans="2:8">
      <c r="B745" s="54">
        <v>44260</v>
      </c>
      <c r="C745" s="46">
        <v>86.959998999999996</v>
      </c>
      <c r="D745" s="55">
        <f t="shared" si="22"/>
        <v>1.8028576867913173E-2</v>
      </c>
      <c r="F745" s="60">
        <v>44260</v>
      </c>
      <c r="G745" s="47">
        <v>86.139411999999993</v>
      </c>
      <c r="H745" s="55">
        <f t="shared" si="23"/>
        <v>1.830639902009264E-2</v>
      </c>
    </row>
    <row r="746" spans="2:8">
      <c r="B746" s="54">
        <v>44263</v>
      </c>
      <c r="C746" s="46">
        <v>89</v>
      </c>
      <c r="D746" s="55">
        <f t="shared" si="22"/>
        <v>2.3459073406843115E-2</v>
      </c>
      <c r="F746" s="60">
        <v>44263</v>
      </c>
      <c r="G746" s="47">
        <v>85.694198999999998</v>
      </c>
      <c r="H746" s="55">
        <f t="shared" si="23"/>
        <v>-5.1685168224737295E-3</v>
      </c>
    </row>
    <row r="747" spans="2:8">
      <c r="B747" s="54">
        <v>44264</v>
      </c>
      <c r="C747" s="46">
        <v>90.019997000000004</v>
      </c>
      <c r="D747" s="55">
        <f t="shared" si="22"/>
        <v>1.1460640449438243E-2</v>
      </c>
      <c r="F747" s="60">
        <v>44264</v>
      </c>
      <c r="G747" s="47">
        <v>87.068573000000001</v>
      </c>
      <c r="H747" s="55">
        <f t="shared" si="23"/>
        <v>1.603812178698354E-2</v>
      </c>
    </row>
    <row r="748" spans="2:8">
      <c r="B748" s="54">
        <v>44265</v>
      </c>
      <c r="C748" s="46">
        <v>89.959998999999996</v>
      </c>
      <c r="D748" s="55">
        <f t="shared" si="22"/>
        <v>-6.6649635635965775E-4</v>
      </c>
      <c r="F748" s="60">
        <v>44265</v>
      </c>
      <c r="G748" s="47">
        <v>87.600882999999996</v>
      </c>
      <c r="H748" s="55">
        <f t="shared" si="23"/>
        <v>6.1136869671677679E-3</v>
      </c>
    </row>
    <row r="749" spans="2:8">
      <c r="B749" s="54">
        <v>44266</v>
      </c>
      <c r="C749" s="46">
        <v>89.779999000000004</v>
      </c>
      <c r="D749" s="55">
        <f t="shared" si="22"/>
        <v>-2.0008893063681852E-3</v>
      </c>
      <c r="F749" s="60">
        <v>44266</v>
      </c>
      <c r="G749" s="47">
        <v>88.801033000000004</v>
      </c>
      <c r="H749" s="55">
        <f t="shared" si="23"/>
        <v>1.3700204368944636E-2</v>
      </c>
    </row>
    <row r="750" spans="2:8">
      <c r="B750" s="54">
        <v>44267</v>
      </c>
      <c r="C750" s="46">
        <v>90.199996999999996</v>
      </c>
      <c r="D750" s="55">
        <f t="shared" si="22"/>
        <v>4.6780798026071768E-3</v>
      </c>
      <c r="F750" s="60">
        <v>44267</v>
      </c>
      <c r="G750" s="47">
        <v>88.994606000000005</v>
      </c>
      <c r="H750" s="55">
        <f t="shared" si="23"/>
        <v>2.1798507681774449E-3</v>
      </c>
    </row>
    <row r="751" spans="2:8">
      <c r="B751" s="54">
        <v>44270</v>
      </c>
      <c r="C751" s="46">
        <v>89.5</v>
      </c>
      <c r="D751" s="55">
        <f t="shared" si="22"/>
        <v>-7.7604991494622357E-3</v>
      </c>
      <c r="F751" s="60">
        <v>44270</v>
      </c>
      <c r="G751" s="47">
        <v>89.604354999999998</v>
      </c>
      <c r="H751" s="55">
        <f t="shared" si="23"/>
        <v>6.8515276083136274E-3</v>
      </c>
    </row>
    <row r="752" spans="2:8">
      <c r="B752" s="54">
        <v>44271</v>
      </c>
      <c r="C752" s="46">
        <v>88.589995999999999</v>
      </c>
      <c r="D752" s="55">
        <f t="shared" si="22"/>
        <v>-1.0167642458100567E-2</v>
      </c>
      <c r="F752" s="60">
        <v>44271</v>
      </c>
      <c r="G752" s="47">
        <v>89.236557000000005</v>
      </c>
      <c r="H752" s="55">
        <f t="shared" si="23"/>
        <v>-4.1046888848203129E-3</v>
      </c>
    </row>
    <row r="753" spans="2:8">
      <c r="B753" s="54">
        <v>44272</v>
      </c>
      <c r="C753" s="46">
        <v>89.18</v>
      </c>
      <c r="D753" s="55">
        <f t="shared" si="22"/>
        <v>6.6599393457474308E-3</v>
      </c>
      <c r="F753" s="60">
        <v>44272</v>
      </c>
      <c r="G753" s="47">
        <v>89.604354999999998</v>
      </c>
      <c r="H753" s="55">
        <f t="shared" si="23"/>
        <v>4.1216067984334425E-3</v>
      </c>
    </row>
    <row r="754" spans="2:8">
      <c r="B754" s="54">
        <v>44273</v>
      </c>
      <c r="C754" s="46">
        <v>88.010002</v>
      </c>
      <c r="D754" s="55">
        <f t="shared" si="22"/>
        <v>-1.311951110114383E-2</v>
      </c>
      <c r="F754" s="60">
        <v>44273</v>
      </c>
      <c r="G754" s="47">
        <v>88.017075000000006</v>
      </c>
      <c r="H754" s="55">
        <f t="shared" si="23"/>
        <v>-1.7714317568604705E-2</v>
      </c>
    </row>
    <row r="755" spans="2:8">
      <c r="B755" s="54">
        <v>44274</v>
      </c>
      <c r="C755" s="46">
        <v>86.519997000000004</v>
      </c>
      <c r="D755" s="55">
        <f t="shared" si="22"/>
        <v>-1.6929950757187763E-2</v>
      </c>
      <c r="F755" s="60">
        <v>44274</v>
      </c>
      <c r="G755" s="47">
        <v>88.075149999999994</v>
      </c>
      <c r="H755" s="55">
        <f t="shared" si="23"/>
        <v>6.5981515518424242E-4</v>
      </c>
    </row>
    <row r="756" spans="2:8">
      <c r="B756" s="54">
        <v>44277</v>
      </c>
      <c r="C756" s="46">
        <v>84.940002000000007</v>
      </c>
      <c r="D756" s="55">
        <f t="shared" si="22"/>
        <v>-1.8261616444577508E-2</v>
      </c>
      <c r="F756" s="60">
        <v>44277</v>
      </c>
      <c r="G756" s="47">
        <v>88.530036999999993</v>
      </c>
      <c r="H756" s="55">
        <f t="shared" si="23"/>
        <v>5.1647598669999359E-3</v>
      </c>
    </row>
    <row r="757" spans="2:8">
      <c r="B757" s="54">
        <v>44278</v>
      </c>
      <c r="C757" s="46">
        <v>82.370002999999997</v>
      </c>
      <c r="D757" s="55">
        <f t="shared" si="22"/>
        <v>-3.0256639268739477E-2</v>
      </c>
      <c r="F757" s="60">
        <v>44278</v>
      </c>
      <c r="G757" s="47">
        <v>87.552498</v>
      </c>
      <c r="H757" s="55">
        <f t="shared" si="23"/>
        <v>-1.1041890787868902E-2</v>
      </c>
    </row>
    <row r="758" spans="2:8">
      <c r="B758" s="54">
        <v>44279</v>
      </c>
      <c r="C758" s="46">
        <v>82.790001000000004</v>
      </c>
      <c r="D758" s="55">
        <f t="shared" si="22"/>
        <v>5.0989193238223721E-3</v>
      </c>
      <c r="F758" s="60">
        <v>44279</v>
      </c>
      <c r="G758" s="47">
        <v>86.787880000000001</v>
      </c>
      <c r="H758" s="55">
        <f t="shared" si="23"/>
        <v>-8.7332516771822851E-3</v>
      </c>
    </row>
    <row r="759" spans="2:8">
      <c r="B759" s="54">
        <v>44280</v>
      </c>
      <c r="C759" s="46">
        <v>85.300003000000004</v>
      </c>
      <c r="D759" s="55">
        <f t="shared" si="22"/>
        <v>3.0317695007637455E-2</v>
      </c>
      <c r="F759" s="60">
        <v>44280</v>
      </c>
      <c r="G759" s="47">
        <v>87.415183999999996</v>
      </c>
      <c r="H759" s="55">
        <f t="shared" si="23"/>
        <v>7.2280138655304773E-3</v>
      </c>
    </row>
    <row r="760" spans="2:8">
      <c r="B760" s="54">
        <v>44281</v>
      </c>
      <c r="C760" s="46">
        <v>86.889999000000003</v>
      </c>
      <c r="D760" s="55">
        <f t="shared" si="22"/>
        <v>1.8640046237747485E-2</v>
      </c>
      <c r="F760" s="60">
        <v>44281</v>
      </c>
      <c r="G760" s="47">
        <v>88.891220000000004</v>
      </c>
      <c r="H760" s="55">
        <f t="shared" si="23"/>
        <v>1.688535026134599E-2</v>
      </c>
    </row>
    <row r="761" spans="2:8">
      <c r="B761" s="54">
        <v>44284</v>
      </c>
      <c r="C761" s="46">
        <v>84.540001000000004</v>
      </c>
      <c r="D761" s="55">
        <f t="shared" si="22"/>
        <v>-2.7045667246468712E-2</v>
      </c>
      <c r="F761" s="60">
        <v>44284</v>
      </c>
      <c r="G761" s="47">
        <v>88.434814000000003</v>
      </c>
      <c r="H761" s="55">
        <f t="shared" si="23"/>
        <v>-5.1344328494985353E-3</v>
      </c>
    </row>
    <row r="762" spans="2:8">
      <c r="B762" s="54">
        <v>44285</v>
      </c>
      <c r="C762" s="46">
        <v>84.800003000000004</v>
      </c>
      <c r="D762" s="55">
        <f t="shared" si="22"/>
        <v>3.0754908555063781E-3</v>
      </c>
      <c r="F762" s="60">
        <v>44285</v>
      </c>
      <c r="G762" s="47">
        <v>88.463936000000004</v>
      </c>
      <c r="H762" s="55">
        <f t="shared" si="23"/>
        <v>3.2930470120060386E-4</v>
      </c>
    </row>
    <row r="763" spans="2:8">
      <c r="B763" s="54">
        <v>44286</v>
      </c>
      <c r="C763" s="46">
        <v>84.059997999999993</v>
      </c>
      <c r="D763" s="55">
        <f t="shared" si="22"/>
        <v>-8.7264737478843085E-3</v>
      </c>
      <c r="F763" s="60">
        <v>44286</v>
      </c>
      <c r="G763" s="47">
        <v>88.949471000000003</v>
      </c>
      <c r="H763" s="55">
        <f t="shared" si="23"/>
        <v>5.488507768860733E-3</v>
      </c>
    </row>
    <row r="764" spans="2:8">
      <c r="B764" s="54">
        <v>44287</v>
      </c>
      <c r="C764" s="46">
        <v>86.150002000000001</v>
      </c>
      <c r="D764" s="55">
        <f t="shared" si="22"/>
        <v>2.4863241134029147E-2</v>
      </c>
      <c r="F764" s="60">
        <v>44287</v>
      </c>
      <c r="G764" s="47">
        <v>90.075912000000002</v>
      </c>
      <c r="H764" s="55">
        <f t="shared" si="23"/>
        <v>1.2663830232334937E-2</v>
      </c>
    </row>
    <row r="765" spans="2:8">
      <c r="B765" s="54">
        <v>44291</v>
      </c>
      <c r="C765" s="46">
        <v>86.75</v>
      </c>
      <c r="D765" s="55">
        <f t="shared" si="22"/>
        <v>6.9645732567713619E-3</v>
      </c>
      <c r="F765" s="60">
        <v>44291</v>
      </c>
      <c r="G765" s="47">
        <v>91.153785999999997</v>
      </c>
      <c r="H765" s="55">
        <f t="shared" si="23"/>
        <v>1.1966284615580625E-2</v>
      </c>
    </row>
    <row r="766" spans="2:8">
      <c r="B766" s="54">
        <v>44292</v>
      </c>
      <c r="C766" s="46">
        <v>87.389999000000003</v>
      </c>
      <c r="D766" s="55">
        <f t="shared" si="22"/>
        <v>7.3775100864553675E-3</v>
      </c>
      <c r="F766" s="60">
        <v>44292</v>
      </c>
      <c r="G766" s="47">
        <v>91.124663999999996</v>
      </c>
      <c r="H766" s="55">
        <f t="shared" si="23"/>
        <v>-3.1948206737129913E-4</v>
      </c>
    </row>
    <row r="767" spans="2:8">
      <c r="B767" s="54">
        <v>44293</v>
      </c>
      <c r="C767" s="46">
        <v>87.010002</v>
      </c>
      <c r="D767" s="55">
        <f t="shared" si="22"/>
        <v>-4.3482893277067437E-3</v>
      </c>
      <c r="F767" s="60">
        <v>44293</v>
      </c>
      <c r="G767" s="47">
        <v>91.056679000000003</v>
      </c>
      <c r="H767" s="55">
        <f t="shared" si="23"/>
        <v>-7.4606585106303468E-4</v>
      </c>
    </row>
    <row r="768" spans="2:8">
      <c r="B768" s="54">
        <v>44294</v>
      </c>
      <c r="C768" s="46">
        <v>88.120002999999997</v>
      </c>
      <c r="D768" s="55">
        <f t="shared" si="22"/>
        <v>1.2757165549772046E-2</v>
      </c>
      <c r="F768" s="60">
        <v>44294</v>
      </c>
      <c r="G768" s="47">
        <v>91.619888000000003</v>
      </c>
      <c r="H768" s="55">
        <f t="shared" si="23"/>
        <v>6.1852574263113694E-3</v>
      </c>
    </row>
    <row r="769" spans="2:8">
      <c r="B769" s="54">
        <v>44295</v>
      </c>
      <c r="C769" s="46">
        <v>88.279999000000004</v>
      </c>
      <c r="D769" s="55">
        <f t="shared" si="22"/>
        <v>1.8156604011918462E-3</v>
      </c>
      <c r="F769" s="60">
        <v>44295</v>
      </c>
      <c r="G769" s="47">
        <v>92.221953999999997</v>
      </c>
      <c r="H769" s="55">
        <f t="shared" si="23"/>
        <v>6.5713461688579394E-3</v>
      </c>
    </row>
    <row r="770" spans="2:8">
      <c r="B770" s="54">
        <v>44298</v>
      </c>
      <c r="C770" s="46">
        <v>87.919998000000007</v>
      </c>
      <c r="D770" s="55">
        <f t="shared" si="22"/>
        <v>-4.0779452206382207E-3</v>
      </c>
      <c r="F770" s="60">
        <v>44298</v>
      </c>
      <c r="G770" s="47">
        <v>92.241386000000006</v>
      </c>
      <c r="H770" s="55">
        <f t="shared" si="23"/>
        <v>2.1070904656833662E-4</v>
      </c>
    </row>
    <row r="771" spans="2:8">
      <c r="B771" s="54">
        <v>44299</v>
      </c>
      <c r="C771" s="46">
        <v>86.300003000000004</v>
      </c>
      <c r="D771" s="55">
        <f t="shared" si="22"/>
        <v>-1.8425785223516528E-2</v>
      </c>
      <c r="F771" s="60">
        <v>44299</v>
      </c>
      <c r="G771" s="47">
        <v>92.464737</v>
      </c>
      <c r="H771" s="55">
        <f t="shared" si="23"/>
        <v>2.4213751514964642E-3</v>
      </c>
    </row>
    <row r="772" spans="2:8">
      <c r="B772" s="54">
        <v>44300</v>
      </c>
      <c r="C772" s="46">
        <v>87.400002000000001</v>
      </c>
      <c r="D772" s="55">
        <f t="shared" si="22"/>
        <v>1.2746222036631873E-2</v>
      </c>
      <c r="F772" s="60">
        <v>44300</v>
      </c>
      <c r="G772" s="47">
        <v>92.319061000000005</v>
      </c>
      <c r="H772" s="55">
        <f t="shared" si="23"/>
        <v>-1.5754762812984001E-3</v>
      </c>
    </row>
    <row r="773" spans="2:8">
      <c r="B773" s="54">
        <v>44301</v>
      </c>
      <c r="C773" s="46">
        <v>88.089995999999999</v>
      </c>
      <c r="D773" s="55">
        <f t="shared" si="22"/>
        <v>7.8946680115636464E-3</v>
      </c>
      <c r="F773" s="60">
        <v>44301</v>
      </c>
      <c r="G773" s="47">
        <v>93.222144999999998</v>
      </c>
      <c r="H773" s="55">
        <f t="shared" si="23"/>
        <v>9.7822052154537473E-3</v>
      </c>
    </row>
    <row r="774" spans="2:8">
      <c r="B774" s="54">
        <v>44302</v>
      </c>
      <c r="C774" s="46">
        <v>88.779999000000004</v>
      </c>
      <c r="D774" s="55">
        <f t="shared" ref="D774:D837" si="24">(C774-C773)/C773</f>
        <v>7.8329325840814472E-3</v>
      </c>
      <c r="F774" s="60">
        <v>44302</v>
      </c>
      <c r="G774" s="47">
        <v>93.455214999999995</v>
      </c>
      <c r="H774" s="55">
        <f t="shared" ref="H774:H837" si="25">(G774-G773)/G773</f>
        <v>2.5001570174125248E-3</v>
      </c>
    </row>
    <row r="775" spans="2:8">
      <c r="B775" s="54">
        <v>44305</v>
      </c>
      <c r="C775" s="46">
        <v>88.739998</v>
      </c>
      <c r="D775" s="55">
        <f t="shared" si="24"/>
        <v>-4.5056319498273169E-4</v>
      </c>
      <c r="F775" s="60">
        <v>44305</v>
      </c>
      <c r="G775" s="47">
        <v>92.930840000000003</v>
      </c>
      <c r="H775" s="55">
        <f t="shared" si="25"/>
        <v>-5.6109763377034877E-3</v>
      </c>
    </row>
    <row r="776" spans="2:8">
      <c r="B776" s="54">
        <v>44306</v>
      </c>
      <c r="C776" s="46">
        <v>86.519997000000004</v>
      </c>
      <c r="D776" s="55">
        <f t="shared" si="24"/>
        <v>-2.501691514574968E-2</v>
      </c>
      <c r="F776" s="60">
        <v>44306</v>
      </c>
      <c r="G776" s="47">
        <v>92.056884999999994</v>
      </c>
      <c r="H776" s="55">
        <f t="shared" si="25"/>
        <v>-9.4043591987332652E-3</v>
      </c>
    </row>
    <row r="777" spans="2:8">
      <c r="B777" s="54">
        <v>44307</v>
      </c>
      <c r="C777" s="46">
        <v>87.75</v>
      </c>
      <c r="D777" s="55">
        <f t="shared" si="24"/>
        <v>1.4216401325117896E-2</v>
      </c>
      <c r="F777" s="60">
        <v>44307</v>
      </c>
      <c r="G777" s="47">
        <v>93.125052999999994</v>
      </c>
      <c r="H777" s="55">
        <f t="shared" si="25"/>
        <v>1.1603347212975977E-2</v>
      </c>
    </row>
    <row r="778" spans="2:8">
      <c r="B778" s="54">
        <v>44308</v>
      </c>
      <c r="C778" s="46">
        <v>87.230002999999996</v>
      </c>
      <c r="D778" s="55">
        <f t="shared" si="24"/>
        <v>-5.9258917378917789E-3</v>
      </c>
      <c r="F778" s="60">
        <v>44308</v>
      </c>
      <c r="G778" s="47">
        <v>92.328781000000006</v>
      </c>
      <c r="H778" s="55">
        <f t="shared" si="25"/>
        <v>-8.5505669457174721E-3</v>
      </c>
    </row>
    <row r="779" spans="2:8">
      <c r="B779" s="54">
        <v>44309</v>
      </c>
      <c r="C779" s="46">
        <v>88.910004000000001</v>
      </c>
      <c r="D779" s="55">
        <f t="shared" si="24"/>
        <v>1.9259439897073079E-2</v>
      </c>
      <c r="F779" s="60">
        <v>44309</v>
      </c>
      <c r="G779" s="47">
        <v>93.503769000000005</v>
      </c>
      <c r="H779" s="55">
        <f t="shared" si="25"/>
        <v>1.2726129244574332E-2</v>
      </c>
    </row>
    <row r="780" spans="2:8">
      <c r="B780" s="54">
        <v>44312</v>
      </c>
      <c r="C780" s="46">
        <v>88.75</v>
      </c>
      <c r="D780" s="55">
        <f t="shared" si="24"/>
        <v>-1.7996175098586285E-3</v>
      </c>
      <c r="F780" s="60">
        <v>44312</v>
      </c>
      <c r="G780" s="47">
        <v>93.814507000000006</v>
      </c>
      <c r="H780" s="55">
        <f t="shared" si="25"/>
        <v>3.3232671080884514E-3</v>
      </c>
    </row>
    <row r="781" spans="2:8">
      <c r="B781" s="54">
        <v>44313</v>
      </c>
      <c r="C781" s="46">
        <v>88.519997000000004</v>
      </c>
      <c r="D781" s="55">
        <f t="shared" si="24"/>
        <v>-2.5915830985915088E-3</v>
      </c>
      <c r="F781" s="60">
        <v>44313</v>
      </c>
      <c r="G781" s="47">
        <v>93.833922999999999</v>
      </c>
      <c r="H781" s="55">
        <f t="shared" si="25"/>
        <v>2.0696159496944911E-4</v>
      </c>
    </row>
    <row r="782" spans="2:8">
      <c r="B782" s="54">
        <v>44314</v>
      </c>
      <c r="C782" s="46">
        <v>89.300003000000004</v>
      </c>
      <c r="D782" s="55">
        <f t="shared" si="24"/>
        <v>8.8116360871544099E-3</v>
      </c>
      <c r="F782" s="60">
        <v>44314</v>
      </c>
      <c r="G782" s="47">
        <v>93.785377999999994</v>
      </c>
      <c r="H782" s="55">
        <f t="shared" si="25"/>
        <v>-5.1735021245998935E-4</v>
      </c>
    </row>
    <row r="783" spans="2:8">
      <c r="B783" s="54">
        <v>44315</v>
      </c>
      <c r="C783" s="46">
        <v>89.889999000000003</v>
      </c>
      <c r="D783" s="55">
        <f t="shared" si="24"/>
        <v>6.6068978743483277E-3</v>
      </c>
      <c r="F783" s="60">
        <v>44315</v>
      </c>
      <c r="G783" s="47">
        <v>94.212638999999996</v>
      </c>
      <c r="H783" s="55">
        <f t="shared" si="25"/>
        <v>4.5557314915338027E-3</v>
      </c>
    </row>
    <row r="784" spans="2:8">
      <c r="B784" s="54">
        <v>44316</v>
      </c>
      <c r="C784" s="46">
        <v>88.959998999999996</v>
      </c>
      <c r="D784" s="55">
        <f t="shared" si="24"/>
        <v>-1.0345978533162591E-2</v>
      </c>
      <c r="F784" s="60">
        <v>44316</v>
      </c>
      <c r="G784" s="47">
        <v>93.503769000000005</v>
      </c>
      <c r="H784" s="55">
        <f t="shared" si="25"/>
        <v>-7.5241497056460797E-3</v>
      </c>
    </row>
    <row r="785" spans="2:8">
      <c r="B785" s="54">
        <v>44319</v>
      </c>
      <c r="C785" s="46">
        <v>89.440002000000007</v>
      </c>
      <c r="D785" s="55">
        <f t="shared" si="24"/>
        <v>5.3957172369124085E-3</v>
      </c>
      <c r="F785" s="60">
        <v>44319</v>
      </c>
      <c r="G785" s="47">
        <v>93.610596000000001</v>
      </c>
      <c r="H785" s="55">
        <f t="shared" si="25"/>
        <v>1.1424887054552375E-3</v>
      </c>
    </row>
    <row r="786" spans="2:8">
      <c r="B786" s="54">
        <v>44320</v>
      </c>
      <c r="C786" s="46">
        <v>88.449996999999996</v>
      </c>
      <c r="D786" s="55">
        <f t="shared" si="24"/>
        <v>-1.106892864336039E-2</v>
      </c>
      <c r="F786" s="60">
        <v>44320</v>
      </c>
      <c r="G786" s="47">
        <v>92.892005999999995</v>
      </c>
      <c r="H786" s="55">
        <f t="shared" si="25"/>
        <v>-7.6763745847746347E-3</v>
      </c>
    </row>
    <row r="787" spans="2:8">
      <c r="B787" s="54">
        <v>44321</v>
      </c>
      <c r="C787" s="46">
        <v>93.779999000000004</v>
      </c>
      <c r="D787" s="55">
        <f t="shared" si="24"/>
        <v>6.0260058572981161E-2</v>
      </c>
      <c r="F787" s="60">
        <v>44321</v>
      </c>
      <c r="G787" s="47">
        <v>92.804596000000004</v>
      </c>
      <c r="H787" s="55">
        <f t="shared" si="25"/>
        <v>-9.4098516938035911E-4</v>
      </c>
    </row>
    <row r="788" spans="2:8">
      <c r="B788" s="54">
        <v>44322</v>
      </c>
      <c r="C788" s="46">
        <v>93.510002</v>
      </c>
      <c r="D788" s="55">
        <f t="shared" si="24"/>
        <v>-2.8790467357544289E-3</v>
      </c>
      <c r="F788" s="60">
        <v>44322</v>
      </c>
      <c r="G788" s="47">
        <v>93.387244999999993</v>
      </c>
      <c r="H788" s="55">
        <f t="shared" si="25"/>
        <v>6.2782343236534241E-3</v>
      </c>
    </row>
    <row r="789" spans="2:8">
      <c r="B789" s="54">
        <v>44323</v>
      </c>
      <c r="C789" s="46">
        <v>94.389999000000003</v>
      </c>
      <c r="D789" s="55">
        <f t="shared" si="24"/>
        <v>9.4107259242706791E-3</v>
      </c>
      <c r="F789" s="60">
        <v>44323</v>
      </c>
      <c r="G789" s="47">
        <v>94.164078000000003</v>
      </c>
      <c r="H789" s="55">
        <f t="shared" si="25"/>
        <v>8.3184057951384109E-3</v>
      </c>
    </row>
    <row r="790" spans="2:8">
      <c r="B790" s="54">
        <v>44326</v>
      </c>
      <c r="C790" s="46">
        <v>93.800003000000004</v>
      </c>
      <c r="D790" s="55">
        <f t="shared" si="24"/>
        <v>-6.2506198352645309E-3</v>
      </c>
      <c r="F790" s="60">
        <v>44326</v>
      </c>
      <c r="G790" s="47">
        <v>93.027946</v>
      </c>
      <c r="H790" s="55">
        <f t="shared" si="25"/>
        <v>-1.2065450266501876E-2</v>
      </c>
    </row>
    <row r="791" spans="2:8">
      <c r="B791" s="54">
        <v>44327</v>
      </c>
      <c r="C791" s="46">
        <v>92.529999000000004</v>
      </c>
      <c r="D791" s="55">
        <f t="shared" si="24"/>
        <v>-1.353948783988845E-2</v>
      </c>
      <c r="F791" s="60">
        <v>44327</v>
      </c>
      <c r="G791" s="47">
        <v>92.289940000000001</v>
      </c>
      <c r="H791" s="55">
        <f t="shared" si="25"/>
        <v>-7.9331645138117808E-3</v>
      </c>
    </row>
    <row r="792" spans="2:8">
      <c r="B792" s="54">
        <v>44328</v>
      </c>
      <c r="C792" s="46">
        <v>89.639999000000003</v>
      </c>
      <c r="D792" s="55">
        <f t="shared" si="24"/>
        <v>-3.123311392232913E-2</v>
      </c>
      <c r="F792" s="60">
        <v>44328</v>
      </c>
      <c r="G792" s="47">
        <v>90.240982000000002</v>
      </c>
      <c r="H792" s="55">
        <f t="shared" si="25"/>
        <v>-2.220131468283541E-2</v>
      </c>
    </row>
    <row r="793" spans="2:8">
      <c r="B793" s="54">
        <v>44329</v>
      </c>
      <c r="C793" s="46">
        <v>92.519997000000004</v>
      </c>
      <c r="D793" s="55">
        <f t="shared" si="24"/>
        <v>3.2128492103173721E-2</v>
      </c>
      <c r="F793" s="60">
        <v>44329</v>
      </c>
      <c r="G793" s="47">
        <v>91.250893000000005</v>
      </c>
      <c r="H793" s="55">
        <f t="shared" si="25"/>
        <v>1.1191267843251113E-2</v>
      </c>
    </row>
    <row r="794" spans="2:8">
      <c r="B794" s="54">
        <v>44330</v>
      </c>
      <c r="C794" s="46">
        <v>93.790001000000004</v>
      </c>
      <c r="D794" s="55">
        <f t="shared" si="24"/>
        <v>1.3726805460229318E-2</v>
      </c>
      <c r="F794" s="60">
        <v>44330</v>
      </c>
      <c r="G794" s="47">
        <v>92.814316000000005</v>
      </c>
      <c r="H794" s="55">
        <f t="shared" si="25"/>
        <v>1.7133235068724207E-2</v>
      </c>
    </row>
    <row r="795" spans="2:8">
      <c r="B795" s="54">
        <v>44333</v>
      </c>
      <c r="C795" s="46">
        <v>93.830001999999993</v>
      </c>
      <c r="D795" s="55">
        <f t="shared" si="24"/>
        <v>4.2649535743143361E-4</v>
      </c>
      <c r="F795" s="60">
        <v>44333</v>
      </c>
      <c r="G795" s="47">
        <v>92.542411999999999</v>
      </c>
      <c r="H795" s="55">
        <f t="shared" si="25"/>
        <v>-2.9295480667013304E-3</v>
      </c>
    </row>
    <row r="796" spans="2:8">
      <c r="B796" s="54">
        <v>44334</v>
      </c>
      <c r="C796" s="46">
        <v>92.709998999999996</v>
      </c>
      <c r="D796" s="55">
        <f t="shared" si="24"/>
        <v>-1.1936512587945987E-2</v>
      </c>
      <c r="F796" s="60">
        <v>44334</v>
      </c>
      <c r="G796" s="47">
        <v>91.891807999999997</v>
      </c>
      <c r="H796" s="55">
        <f t="shared" si="25"/>
        <v>-7.0303332919397143E-3</v>
      </c>
    </row>
    <row r="797" spans="2:8">
      <c r="B797" s="54">
        <v>44335</v>
      </c>
      <c r="C797" s="46">
        <v>92.349997999999999</v>
      </c>
      <c r="D797" s="55">
        <f t="shared" si="24"/>
        <v>-3.8830870875103444E-3</v>
      </c>
      <c r="F797" s="60">
        <v>44335</v>
      </c>
      <c r="G797" s="47">
        <v>91.619888000000003</v>
      </c>
      <c r="H797" s="55">
        <f t="shared" si="25"/>
        <v>-2.9591321132781978E-3</v>
      </c>
    </row>
    <row r="798" spans="2:8">
      <c r="B798" s="54">
        <v>44336</v>
      </c>
      <c r="C798" s="46">
        <v>93.309997999999993</v>
      </c>
      <c r="D798" s="55">
        <f t="shared" si="24"/>
        <v>1.0395235742181539E-2</v>
      </c>
      <c r="F798" s="60">
        <v>44336</v>
      </c>
      <c r="G798" s="47">
        <v>92.600684999999999</v>
      </c>
      <c r="H798" s="55">
        <f t="shared" si="25"/>
        <v>1.0705066568079579E-2</v>
      </c>
    </row>
    <row r="799" spans="2:8">
      <c r="B799" s="54">
        <v>44337</v>
      </c>
      <c r="C799" s="46">
        <v>93.709998999999996</v>
      </c>
      <c r="D799" s="55">
        <f t="shared" si="24"/>
        <v>4.2867967910577296E-3</v>
      </c>
      <c r="F799" s="60">
        <v>44337</v>
      </c>
      <c r="G799" s="47">
        <v>92.561829000000003</v>
      </c>
      <c r="H799" s="55">
        <f t="shared" si="25"/>
        <v>-4.1960812708886073E-4</v>
      </c>
    </row>
    <row r="800" spans="2:8">
      <c r="B800" s="54">
        <v>44340</v>
      </c>
      <c r="C800" s="46">
        <v>93.660004000000001</v>
      </c>
      <c r="D800" s="55">
        <f t="shared" si="24"/>
        <v>-5.3350763561523006E-4</v>
      </c>
      <c r="F800" s="60">
        <v>44340</v>
      </c>
      <c r="G800" s="47">
        <v>93.435790999999995</v>
      </c>
      <c r="H800" s="55">
        <f t="shared" si="25"/>
        <v>9.4419266499151788E-3</v>
      </c>
    </row>
    <row r="801" spans="2:8">
      <c r="B801" s="54">
        <v>44341</v>
      </c>
      <c r="C801" s="46">
        <v>93.019997000000004</v>
      </c>
      <c r="D801" s="55">
        <f t="shared" si="24"/>
        <v>-6.8333010107494456E-3</v>
      </c>
      <c r="F801" s="60">
        <v>44341</v>
      </c>
      <c r="G801" s="47">
        <v>93.154182000000006</v>
      </c>
      <c r="H801" s="55">
        <f t="shared" si="25"/>
        <v>-3.0139307109840695E-3</v>
      </c>
    </row>
    <row r="802" spans="2:8">
      <c r="B802" s="54">
        <v>44342</v>
      </c>
      <c r="C802" s="46">
        <v>93.139999000000003</v>
      </c>
      <c r="D802" s="55">
        <f t="shared" si="24"/>
        <v>1.2900666939389333E-3</v>
      </c>
      <c r="F802" s="60">
        <v>44342</v>
      </c>
      <c r="G802" s="47">
        <v>93.542609999999996</v>
      </c>
      <c r="H802" s="55">
        <f t="shared" si="25"/>
        <v>4.169732283194655E-3</v>
      </c>
    </row>
    <row r="803" spans="2:8">
      <c r="B803" s="54">
        <v>44343</v>
      </c>
      <c r="C803" s="46">
        <v>92.510002</v>
      </c>
      <c r="D803" s="55">
        <f t="shared" si="24"/>
        <v>-6.7639790290313726E-3</v>
      </c>
      <c r="F803" s="60">
        <v>44343</v>
      </c>
      <c r="G803" s="47">
        <v>93.746536000000006</v>
      </c>
      <c r="H803" s="55">
        <f t="shared" si="25"/>
        <v>2.1800332490189214E-3</v>
      </c>
    </row>
    <row r="804" spans="2:8">
      <c r="B804" s="54">
        <v>44344</v>
      </c>
      <c r="C804" s="46">
        <v>93.099997999999999</v>
      </c>
      <c r="D804" s="55">
        <f t="shared" si="24"/>
        <v>6.3776455220485168E-3</v>
      </c>
      <c r="F804" s="60">
        <v>44344</v>
      </c>
      <c r="G804" s="47">
        <v>93.921310000000005</v>
      </c>
      <c r="H804" s="55">
        <f t="shared" si="25"/>
        <v>1.8643248855616309E-3</v>
      </c>
    </row>
    <row r="805" spans="2:8">
      <c r="B805" s="54">
        <v>44348</v>
      </c>
      <c r="C805" s="46">
        <v>94.129997000000003</v>
      </c>
      <c r="D805" s="55">
        <f t="shared" si="24"/>
        <v>1.1063362214035748E-2</v>
      </c>
      <c r="F805" s="60">
        <v>44348</v>
      </c>
      <c r="G805" s="47">
        <v>93.960159000000004</v>
      </c>
      <c r="H805" s="55">
        <f t="shared" si="25"/>
        <v>4.1363349808471605E-4</v>
      </c>
    </row>
    <row r="806" spans="2:8">
      <c r="B806" s="54">
        <v>44349</v>
      </c>
      <c r="C806" s="46">
        <v>92.529999000000004</v>
      </c>
      <c r="D806" s="55">
        <f t="shared" si="24"/>
        <v>-1.6997748337333946E-2</v>
      </c>
      <c r="F806" s="60">
        <v>44349</v>
      </c>
      <c r="G806" s="47">
        <v>94.066986</v>
      </c>
      <c r="H806" s="55">
        <f t="shared" si="25"/>
        <v>1.1369393276569014E-3</v>
      </c>
    </row>
    <row r="807" spans="2:8">
      <c r="B807" s="54">
        <v>44350</v>
      </c>
      <c r="C807" s="46">
        <v>93.349997999999999</v>
      </c>
      <c r="D807" s="55">
        <f t="shared" si="24"/>
        <v>8.8619799941854066E-3</v>
      </c>
      <c r="F807" s="60">
        <v>44350</v>
      </c>
      <c r="G807" s="47">
        <v>93.6203</v>
      </c>
      <c r="H807" s="55">
        <f t="shared" si="25"/>
        <v>-4.7485947939269546E-3</v>
      </c>
    </row>
    <row r="808" spans="2:8">
      <c r="B808" s="54">
        <v>44351</v>
      </c>
      <c r="C808" s="46">
        <v>93.93</v>
      </c>
      <c r="D808" s="55">
        <f t="shared" si="24"/>
        <v>6.2131977763942477E-3</v>
      </c>
      <c r="F808" s="60">
        <v>44351</v>
      </c>
      <c r="G808" s="47">
        <v>94.445694000000003</v>
      </c>
      <c r="H808" s="55">
        <f t="shared" si="25"/>
        <v>8.8163998619957724E-3</v>
      </c>
    </row>
    <row r="809" spans="2:8">
      <c r="B809" s="54">
        <v>44354</v>
      </c>
      <c r="C809" s="46">
        <v>91.669998000000007</v>
      </c>
      <c r="D809" s="55">
        <f t="shared" si="24"/>
        <v>-2.4060491855637176E-2</v>
      </c>
      <c r="F809" s="60">
        <v>44354</v>
      </c>
      <c r="G809" s="47">
        <v>94.552504999999996</v>
      </c>
      <c r="H809" s="55">
        <f t="shared" si="25"/>
        <v>1.1309250371964372E-3</v>
      </c>
    </row>
    <row r="810" spans="2:8">
      <c r="B810" s="54">
        <v>44355</v>
      </c>
      <c r="C810" s="46">
        <v>93.830001999999993</v>
      </c>
      <c r="D810" s="55">
        <f t="shared" si="24"/>
        <v>2.3562823684145671E-2</v>
      </c>
      <c r="F810" s="60">
        <v>44355</v>
      </c>
      <c r="G810" s="47">
        <v>94.649635000000004</v>
      </c>
      <c r="H810" s="55">
        <f t="shared" si="25"/>
        <v>1.0272599335153208E-3</v>
      </c>
    </row>
    <row r="811" spans="2:8">
      <c r="B811" s="54">
        <v>44356</v>
      </c>
      <c r="C811" s="46">
        <v>94.910004000000001</v>
      </c>
      <c r="D811" s="55">
        <f t="shared" si="24"/>
        <v>1.151019905125876E-2</v>
      </c>
      <c r="F811" s="60">
        <v>44356</v>
      </c>
      <c r="G811" s="47">
        <v>94.426270000000002</v>
      </c>
      <c r="H811" s="55">
        <f t="shared" si="25"/>
        <v>-2.3599140134032332E-3</v>
      </c>
    </row>
    <row r="812" spans="2:8">
      <c r="B812" s="54">
        <v>44357</v>
      </c>
      <c r="C812" s="46">
        <v>94.169998000000007</v>
      </c>
      <c r="D812" s="55">
        <f t="shared" si="24"/>
        <v>-7.7969230725139782E-3</v>
      </c>
      <c r="F812" s="60">
        <v>44357</v>
      </c>
      <c r="G812" s="47">
        <v>94.860412999999994</v>
      </c>
      <c r="H812" s="55">
        <f t="shared" si="25"/>
        <v>4.5976929936975344E-3</v>
      </c>
    </row>
    <row r="813" spans="2:8">
      <c r="B813" s="54">
        <v>44358</v>
      </c>
      <c r="C813" s="46">
        <v>94.910004000000001</v>
      </c>
      <c r="D813" s="55">
        <f t="shared" si="24"/>
        <v>7.8581927972430649E-3</v>
      </c>
      <c r="F813" s="60">
        <v>44358</v>
      </c>
      <c r="G813" s="47">
        <v>95.152450999999999</v>
      </c>
      <c r="H813" s="55">
        <f t="shared" si="25"/>
        <v>3.0786077222750984E-3</v>
      </c>
    </row>
    <row r="814" spans="2:8">
      <c r="B814" s="54">
        <v>44361</v>
      </c>
      <c r="C814" s="46">
        <v>92.870002999999997</v>
      </c>
      <c r="D814" s="55">
        <f t="shared" si="24"/>
        <v>-2.1494056622313532E-2</v>
      </c>
      <c r="F814" s="60">
        <v>44361</v>
      </c>
      <c r="G814" s="47">
        <v>95.269256999999996</v>
      </c>
      <c r="H814" s="55">
        <f t="shared" si="25"/>
        <v>1.2275669073411137E-3</v>
      </c>
    </row>
    <row r="815" spans="2:8">
      <c r="B815" s="54">
        <v>44362</v>
      </c>
      <c r="C815" s="46">
        <v>93.290001000000004</v>
      </c>
      <c r="D815" s="55">
        <f t="shared" si="24"/>
        <v>4.5224290560215308E-3</v>
      </c>
      <c r="F815" s="60">
        <v>44362</v>
      </c>
      <c r="G815" s="47">
        <v>94.996703999999994</v>
      </c>
      <c r="H815" s="55">
        <f t="shared" si="25"/>
        <v>-2.8608704274874532E-3</v>
      </c>
    </row>
    <row r="816" spans="2:8">
      <c r="B816" s="54">
        <v>44363</v>
      </c>
      <c r="C816" s="46">
        <v>91.699996999999996</v>
      </c>
      <c r="D816" s="55">
        <f t="shared" si="24"/>
        <v>-1.7043670092789554E-2</v>
      </c>
      <c r="F816" s="60">
        <v>44363</v>
      </c>
      <c r="G816" s="47">
        <v>94.578125</v>
      </c>
      <c r="H816" s="55">
        <f t="shared" si="25"/>
        <v>-4.4062476104433481E-3</v>
      </c>
    </row>
    <row r="817" spans="2:8">
      <c r="B817" s="54">
        <v>44364</v>
      </c>
      <c r="C817" s="46">
        <v>89.349997999999999</v>
      </c>
      <c r="D817" s="55">
        <f t="shared" si="24"/>
        <v>-2.5627034644286815E-2</v>
      </c>
      <c r="F817" s="60">
        <v>44364</v>
      </c>
      <c r="G817" s="47">
        <v>94.500252000000003</v>
      </c>
      <c r="H817" s="55">
        <f t="shared" si="25"/>
        <v>-8.2337221212618408E-4</v>
      </c>
    </row>
    <row r="818" spans="2:8">
      <c r="B818" s="54">
        <v>44365</v>
      </c>
      <c r="C818" s="46">
        <v>88.019997000000004</v>
      </c>
      <c r="D818" s="55">
        <f t="shared" si="24"/>
        <v>-1.4885294121662944E-2</v>
      </c>
      <c r="F818" s="60">
        <v>44365</v>
      </c>
      <c r="G818" s="47">
        <v>93.254272</v>
      </c>
      <c r="H818" s="55">
        <f t="shared" si="25"/>
        <v>-1.3184938385137882E-2</v>
      </c>
    </row>
    <row r="819" spans="2:8">
      <c r="B819" s="54">
        <v>44368</v>
      </c>
      <c r="C819" s="46">
        <v>89.760002</v>
      </c>
      <c r="D819" s="55">
        <f t="shared" si="24"/>
        <v>1.9768291971198278E-2</v>
      </c>
      <c r="F819" s="60">
        <v>44368</v>
      </c>
      <c r="G819" s="47">
        <v>94.587860000000006</v>
      </c>
      <c r="H819" s="55">
        <f t="shared" si="25"/>
        <v>1.430055665439119E-2</v>
      </c>
    </row>
    <row r="820" spans="2:8">
      <c r="B820" s="54">
        <v>44369</v>
      </c>
      <c r="C820" s="46">
        <v>89.279999000000004</v>
      </c>
      <c r="D820" s="55">
        <f t="shared" si="24"/>
        <v>-5.3476268861936569E-3</v>
      </c>
      <c r="F820" s="60">
        <v>44369</v>
      </c>
      <c r="G820" s="47">
        <v>95.055115000000001</v>
      </c>
      <c r="H820" s="55">
        <f t="shared" si="25"/>
        <v>4.9399045501187407E-3</v>
      </c>
    </row>
    <row r="821" spans="2:8">
      <c r="B821" s="54">
        <v>44370</v>
      </c>
      <c r="C821" s="46">
        <v>89.059997999999993</v>
      </c>
      <c r="D821" s="55">
        <f t="shared" si="24"/>
        <v>-2.4641689344106123E-3</v>
      </c>
      <c r="F821" s="60">
        <v>44370</v>
      </c>
      <c r="G821" s="47">
        <v>95.064850000000007</v>
      </c>
      <c r="H821" s="55">
        <f t="shared" si="25"/>
        <v>1.0241426776461494E-4</v>
      </c>
    </row>
    <row r="822" spans="2:8">
      <c r="B822" s="54">
        <v>44371</v>
      </c>
      <c r="C822" s="46">
        <v>90.25</v>
      </c>
      <c r="D822" s="55">
        <f t="shared" si="24"/>
        <v>1.3361801333074441E-2</v>
      </c>
      <c r="F822" s="60">
        <v>44371</v>
      </c>
      <c r="G822" s="47">
        <v>95.658630000000002</v>
      </c>
      <c r="H822" s="55">
        <f t="shared" si="25"/>
        <v>6.2460520371093549E-3</v>
      </c>
    </row>
    <row r="823" spans="2:8">
      <c r="B823" s="54">
        <v>44372</v>
      </c>
      <c r="C823" s="46">
        <v>92.510002</v>
      </c>
      <c r="D823" s="55">
        <f t="shared" si="24"/>
        <v>2.5041573407202217E-2</v>
      </c>
      <c r="F823" s="60">
        <v>44372</v>
      </c>
      <c r="G823" s="47">
        <v>96.038276999999994</v>
      </c>
      <c r="H823" s="55">
        <f t="shared" si="25"/>
        <v>3.9687689443178454E-3</v>
      </c>
    </row>
    <row r="824" spans="2:8">
      <c r="B824" s="54">
        <v>44375</v>
      </c>
      <c r="C824" s="46">
        <v>91.18</v>
      </c>
      <c r="D824" s="55">
        <f t="shared" si="24"/>
        <v>-1.4376845435588611E-2</v>
      </c>
      <c r="F824" s="60">
        <v>44375</v>
      </c>
      <c r="G824" s="47">
        <v>96.174553000000003</v>
      </c>
      <c r="H824" s="55">
        <f t="shared" si="25"/>
        <v>1.4189758943718804E-3</v>
      </c>
    </row>
    <row r="825" spans="2:8">
      <c r="B825" s="54">
        <v>44376</v>
      </c>
      <c r="C825" s="46">
        <v>90.730002999999996</v>
      </c>
      <c r="D825" s="55">
        <f t="shared" si="24"/>
        <v>-4.9352599254223559E-3</v>
      </c>
      <c r="F825" s="60">
        <v>44376</v>
      </c>
      <c r="G825" s="47">
        <v>96.232956000000001</v>
      </c>
      <c r="H825" s="55">
        <f t="shared" si="25"/>
        <v>6.0726042573858835E-4</v>
      </c>
    </row>
    <row r="826" spans="2:8">
      <c r="B826" s="54">
        <v>44377</v>
      </c>
      <c r="C826" s="46">
        <v>93.139999000000003</v>
      </c>
      <c r="D826" s="55">
        <f t="shared" si="24"/>
        <v>2.6562282820601326E-2</v>
      </c>
      <c r="F826" s="60">
        <v>44377</v>
      </c>
      <c r="G826" s="47">
        <v>96.135620000000003</v>
      </c>
      <c r="H826" s="55">
        <f t="shared" si="25"/>
        <v>-1.0114622271397186E-3</v>
      </c>
    </row>
    <row r="827" spans="2:8">
      <c r="B827" s="54">
        <v>44378</v>
      </c>
      <c r="C827" s="46">
        <v>93.230002999999996</v>
      </c>
      <c r="D827" s="55">
        <f t="shared" si="24"/>
        <v>9.663302659042686E-4</v>
      </c>
      <c r="F827" s="60">
        <v>44378</v>
      </c>
      <c r="G827" s="47">
        <v>96.739142999999999</v>
      </c>
      <c r="H827" s="55">
        <f t="shared" si="25"/>
        <v>6.2778291750757477E-3</v>
      </c>
    </row>
    <row r="828" spans="2:8">
      <c r="B828" s="54">
        <v>44379</v>
      </c>
      <c r="C828" s="46">
        <v>92.800003000000004</v>
      </c>
      <c r="D828" s="55">
        <f t="shared" si="24"/>
        <v>-4.6122491275688649E-3</v>
      </c>
      <c r="F828" s="60">
        <v>44379</v>
      </c>
      <c r="G828" s="47">
        <v>97.245316000000003</v>
      </c>
      <c r="H828" s="55">
        <f t="shared" si="25"/>
        <v>5.2323494327420703E-3</v>
      </c>
    </row>
    <row r="829" spans="2:8">
      <c r="B829" s="54">
        <v>44383</v>
      </c>
      <c r="C829" s="46">
        <v>91.5</v>
      </c>
      <c r="D829" s="55">
        <f t="shared" si="24"/>
        <v>-1.4008652564375496E-2</v>
      </c>
      <c r="F829" s="60">
        <v>44383</v>
      </c>
      <c r="G829" s="47">
        <v>96.982490999999996</v>
      </c>
      <c r="H829" s="55">
        <f t="shared" si="25"/>
        <v>-2.7027008683894503E-3</v>
      </c>
    </row>
    <row r="830" spans="2:8">
      <c r="B830" s="54">
        <v>44384</v>
      </c>
      <c r="C830" s="46">
        <v>91.949996999999996</v>
      </c>
      <c r="D830" s="55">
        <f t="shared" si="24"/>
        <v>4.9179999999999589E-3</v>
      </c>
      <c r="F830" s="60">
        <v>44384</v>
      </c>
      <c r="G830" s="47">
        <v>97.196655000000007</v>
      </c>
      <c r="H830" s="55">
        <f t="shared" si="25"/>
        <v>2.2082748936610723E-3</v>
      </c>
    </row>
    <row r="831" spans="2:8">
      <c r="B831" s="54">
        <v>44385</v>
      </c>
      <c r="C831" s="46">
        <v>90.209998999999996</v>
      </c>
      <c r="D831" s="55">
        <f t="shared" si="24"/>
        <v>-1.8923306762043724E-2</v>
      </c>
      <c r="F831" s="60">
        <v>44385</v>
      </c>
      <c r="G831" s="47">
        <v>96.330284000000006</v>
      </c>
      <c r="H831" s="55">
        <f t="shared" si="25"/>
        <v>-8.9135886415021258E-3</v>
      </c>
    </row>
    <row r="832" spans="2:8">
      <c r="B832" s="54">
        <v>44386</v>
      </c>
      <c r="C832" s="46">
        <v>92.510002</v>
      </c>
      <c r="D832" s="55">
        <f t="shared" si="24"/>
        <v>2.5496098276201109E-2</v>
      </c>
      <c r="F832" s="60">
        <v>44386</v>
      </c>
      <c r="G832" s="47">
        <v>97.488669999999999</v>
      </c>
      <c r="H832" s="55">
        <f t="shared" si="25"/>
        <v>1.2025148809900663E-2</v>
      </c>
    </row>
    <row r="833" spans="2:8">
      <c r="B833" s="54">
        <v>44389</v>
      </c>
      <c r="C833" s="46">
        <v>93.800003000000004</v>
      </c>
      <c r="D833" s="55">
        <f t="shared" si="24"/>
        <v>1.39444489472609E-2</v>
      </c>
      <c r="F833" s="60">
        <v>44389</v>
      </c>
      <c r="G833" s="47">
        <v>97.780700999999993</v>
      </c>
      <c r="H833" s="55">
        <f t="shared" si="25"/>
        <v>2.9955378404484785E-3</v>
      </c>
    </row>
    <row r="834" spans="2:8">
      <c r="B834" s="54">
        <v>44390</v>
      </c>
      <c r="C834" s="46">
        <v>92.220000999999996</v>
      </c>
      <c r="D834" s="55">
        <f t="shared" si="24"/>
        <v>-1.6844370463399743E-2</v>
      </c>
      <c r="F834" s="60">
        <v>44390</v>
      </c>
      <c r="G834" s="47">
        <v>97.225853000000001</v>
      </c>
      <c r="H834" s="55">
        <f t="shared" si="25"/>
        <v>-5.6744121726023701E-3</v>
      </c>
    </row>
    <row r="835" spans="2:8">
      <c r="B835" s="54">
        <v>44391</v>
      </c>
      <c r="C835" s="46">
        <v>92.160004000000001</v>
      </c>
      <c r="D835" s="55">
        <f t="shared" si="24"/>
        <v>-6.5058554922370522E-4</v>
      </c>
      <c r="F835" s="60">
        <v>44391</v>
      </c>
      <c r="G835" s="47">
        <v>97.147980000000004</v>
      </c>
      <c r="H835" s="55">
        <f t="shared" si="25"/>
        <v>-8.0094951699726153E-4</v>
      </c>
    </row>
    <row r="836" spans="2:8">
      <c r="B836" s="54">
        <v>44392</v>
      </c>
      <c r="C836" s="46">
        <v>91.699996999999996</v>
      </c>
      <c r="D836" s="55">
        <f t="shared" si="24"/>
        <v>-4.9913951826651886E-3</v>
      </c>
      <c r="F836" s="60">
        <v>44392</v>
      </c>
      <c r="G836" s="47">
        <v>96.817008999999999</v>
      </c>
      <c r="H836" s="55">
        <f t="shared" si="25"/>
        <v>-3.4068747492228373E-3</v>
      </c>
    </row>
    <row r="837" spans="2:8">
      <c r="B837" s="54">
        <v>44393</v>
      </c>
      <c r="C837" s="46">
        <v>91.82</v>
      </c>
      <c r="D837" s="55">
        <f t="shared" si="24"/>
        <v>1.3086478072621636E-3</v>
      </c>
      <c r="F837" s="60">
        <v>44393</v>
      </c>
      <c r="G837" s="47">
        <v>96.018799000000001</v>
      </c>
      <c r="H837" s="55">
        <f t="shared" si="25"/>
        <v>-8.2445224061817226E-3</v>
      </c>
    </row>
    <row r="838" spans="2:8">
      <c r="B838" s="54">
        <v>44396</v>
      </c>
      <c r="C838" s="46">
        <v>89.620002999999997</v>
      </c>
      <c r="D838" s="55">
        <f t="shared" ref="D838:D901" si="26">(C838-C837)/C837</f>
        <v>-2.3959888913090789E-2</v>
      </c>
      <c r="F838" s="60">
        <v>44396</v>
      </c>
      <c r="G838" s="47">
        <v>94.743613999999994</v>
      </c>
      <c r="H838" s="55">
        <f t="shared" ref="H838:H901" si="27">(G838-G837)/G837</f>
        <v>-1.3280576442119501E-2</v>
      </c>
    </row>
    <row r="839" spans="2:8">
      <c r="B839" s="54">
        <v>44397</v>
      </c>
      <c r="C839" s="46">
        <v>92.610000999999997</v>
      </c>
      <c r="D839" s="55">
        <f t="shared" si="26"/>
        <v>3.3363065163030621E-2</v>
      </c>
      <c r="F839" s="60">
        <v>44397</v>
      </c>
      <c r="G839" s="47">
        <v>96.232956000000001</v>
      </c>
      <c r="H839" s="55">
        <f t="shared" si="27"/>
        <v>1.5719708559988093E-2</v>
      </c>
    </row>
    <row r="840" spans="2:8">
      <c r="B840" s="54">
        <v>44398</v>
      </c>
      <c r="C840" s="46">
        <v>93.300003000000004</v>
      </c>
      <c r="D840" s="55">
        <f t="shared" si="26"/>
        <v>7.4506208028224394E-3</v>
      </c>
      <c r="F840" s="60">
        <v>44398</v>
      </c>
      <c r="G840" s="47">
        <v>97.167441999999994</v>
      </c>
      <c r="H840" s="55">
        <f t="shared" si="27"/>
        <v>9.7106650241523557E-3</v>
      </c>
    </row>
    <row r="841" spans="2:8">
      <c r="B841" s="54">
        <v>44399</v>
      </c>
      <c r="C841" s="46">
        <v>91.879997000000003</v>
      </c>
      <c r="D841" s="55">
        <f t="shared" si="26"/>
        <v>-1.5219785148345608E-2</v>
      </c>
      <c r="F841" s="60">
        <v>44399</v>
      </c>
      <c r="G841" s="47">
        <v>97.186904999999996</v>
      </c>
      <c r="H841" s="55">
        <f t="shared" si="27"/>
        <v>2.0030371901734106E-4</v>
      </c>
    </row>
    <row r="842" spans="2:8">
      <c r="B842" s="54">
        <v>44400</v>
      </c>
      <c r="C842" s="46">
        <v>92.809997999999993</v>
      </c>
      <c r="D842" s="55">
        <f t="shared" si="26"/>
        <v>1.0121909342247694E-2</v>
      </c>
      <c r="F842" s="60">
        <v>44400</v>
      </c>
      <c r="G842" s="47">
        <v>98.160338999999993</v>
      </c>
      <c r="H842" s="55">
        <f t="shared" si="27"/>
        <v>1.001610247800357E-2</v>
      </c>
    </row>
    <row r="843" spans="2:8">
      <c r="B843" s="54">
        <v>44403</v>
      </c>
      <c r="C843" s="46">
        <v>92.919998000000007</v>
      </c>
      <c r="D843" s="55">
        <f t="shared" si="26"/>
        <v>1.1852171357660589E-3</v>
      </c>
      <c r="F843" s="60">
        <v>44403</v>
      </c>
      <c r="G843" s="47">
        <v>98.355034000000003</v>
      </c>
      <c r="H843" s="55">
        <f t="shared" si="27"/>
        <v>1.9834385453783945E-3</v>
      </c>
    </row>
    <row r="844" spans="2:8">
      <c r="B844" s="54">
        <v>44404</v>
      </c>
      <c r="C844" s="46">
        <v>93.110000999999997</v>
      </c>
      <c r="D844" s="55">
        <f t="shared" si="26"/>
        <v>2.0448020242100108E-3</v>
      </c>
      <c r="F844" s="60">
        <v>44404</v>
      </c>
      <c r="G844" s="47">
        <v>97.829384000000005</v>
      </c>
      <c r="H844" s="55">
        <f t="shared" si="27"/>
        <v>-5.3444137897405318E-3</v>
      </c>
    </row>
    <row r="845" spans="2:8">
      <c r="B845" s="54">
        <v>44405</v>
      </c>
      <c r="C845" s="46">
        <v>93.589995999999999</v>
      </c>
      <c r="D845" s="55">
        <f t="shared" si="26"/>
        <v>5.1551390274391946E-3</v>
      </c>
      <c r="F845" s="60">
        <v>44405</v>
      </c>
      <c r="G845" s="47">
        <v>98.004593</v>
      </c>
      <c r="H845" s="55">
        <f t="shared" si="27"/>
        <v>1.7909649722418295E-3</v>
      </c>
    </row>
    <row r="846" spans="2:8">
      <c r="B846" s="54">
        <v>44406</v>
      </c>
      <c r="C846" s="46">
        <v>93.940002000000007</v>
      </c>
      <c r="D846" s="55">
        <f t="shared" si="26"/>
        <v>3.7397800508508152E-3</v>
      </c>
      <c r="F846" s="60">
        <v>44406</v>
      </c>
      <c r="G846" s="47">
        <v>98.413428999999994</v>
      </c>
      <c r="H846" s="55">
        <f t="shared" si="27"/>
        <v>4.171600406523741E-3</v>
      </c>
    </row>
    <row r="847" spans="2:8">
      <c r="B847" s="54">
        <v>44407</v>
      </c>
      <c r="C847" s="46">
        <v>95</v>
      </c>
      <c r="D847" s="55">
        <f t="shared" si="26"/>
        <v>1.1283776638625077E-2</v>
      </c>
      <c r="F847" s="60">
        <v>44407</v>
      </c>
      <c r="G847" s="47">
        <v>97.887778999999995</v>
      </c>
      <c r="H847" s="55">
        <f t="shared" si="27"/>
        <v>-5.3412426062300795E-3</v>
      </c>
    </row>
    <row r="848" spans="2:8">
      <c r="B848" s="54">
        <v>44410</v>
      </c>
      <c r="C848" s="46">
        <v>94.480002999999996</v>
      </c>
      <c r="D848" s="55">
        <f t="shared" si="26"/>
        <v>-5.4736526315789851E-3</v>
      </c>
      <c r="F848" s="60">
        <v>44410</v>
      </c>
      <c r="G848" s="47">
        <v>97.761246</v>
      </c>
      <c r="H848" s="55">
        <f t="shared" si="27"/>
        <v>-1.292633271411694E-3</v>
      </c>
    </row>
    <row r="849" spans="2:8">
      <c r="B849" s="54">
        <v>44411</v>
      </c>
      <c r="C849" s="46">
        <v>96.080001999999993</v>
      </c>
      <c r="D849" s="55">
        <f t="shared" si="26"/>
        <v>1.6934789894111211E-2</v>
      </c>
      <c r="F849" s="60">
        <v>44411</v>
      </c>
      <c r="G849" s="47">
        <v>98.462104999999994</v>
      </c>
      <c r="H849" s="55">
        <f t="shared" si="27"/>
        <v>7.1690882499594382E-3</v>
      </c>
    </row>
    <row r="850" spans="2:8">
      <c r="B850" s="54">
        <v>44412</v>
      </c>
      <c r="C850" s="46">
        <v>98.760002</v>
      </c>
      <c r="D850" s="55">
        <f t="shared" si="26"/>
        <v>2.7893421567580807E-2</v>
      </c>
      <c r="F850" s="60">
        <v>44412</v>
      </c>
      <c r="G850" s="47">
        <v>97.936454999999995</v>
      </c>
      <c r="H850" s="55">
        <f t="shared" si="27"/>
        <v>-5.3386020946840293E-3</v>
      </c>
    </row>
    <row r="851" spans="2:8">
      <c r="B851" s="54">
        <v>44413</v>
      </c>
      <c r="C851" s="46">
        <v>98.959998999999996</v>
      </c>
      <c r="D851" s="55">
        <f t="shared" si="26"/>
        <v>2.0250809634450614E-3</v>
      </c>
      <c r="F851" s="60">
        <v>44413</v>
      </c>
      <c r="G851" s="47">
        <v>98.666511999999997</v>
      </c>
      <c r="H851" s="55">
        <f t="shared" si="27"/>
        <v>7.4543947909897516E-3</v>
      </c>
    </row>
    <row r="852" spans="2:8">
      <c r="B852" s="54">
        <v>44414</v>
      </c>
      <c r="C852" s="46">
        <v>99.800003000000004</v>
      </c>
      <c r="D852" s="55">
        <f t="shared" si="26"/>
        <v>8.488318598305641E-3</v>
      </c>
      <c r="F852" s="60">
        <v>44414</v>
      </c>
      <c r="G852" s="47">
        <v>98.783325000000005</v>
      </c>
      <c r="H852" s="55">
        <f t="shared" si="27"/>
        <v>1.183917396411131E-3</v>
      </c>
    </row>
    <row r="853" spans="2:8">
      <c r="B853" s="54">
        <v>44417</v>
      </c>
      <c r="C853" s="46">
        <v>100.849998</v>
      </c>
      <c r="D853" s="55">
        <f t="shared" si="26"/>
        <v>1.0520991667705617E-2</v>
      </c>
      <c r="F853" s="60">
        <v>44417</v>
      </c>
      <c r="G853" s="47">
        <v>98.695717000000002</v>
      </c>
      <c r="H853" s="55">
        <f t="shared" si="27"/>
        <v>-8.8687032958247774E-4</v>
      </c>
    </row>
    <row r="854" spans="2:8">
      <c r="B854" s="54">
        <v>44418</v>
      </c>
      <c r="C854" s="46">
        <v>101.68</v>
      </c>
      <c r="D854" s="55">
        <f t="shared" si="26"/>
        <v>8.2300646153707167E-3</v>
      </c>
      <c r="F854" s="60">
        <v>44418</v>
      </c>
      <c r="G854" s="47">
        <v>98.724922000000007</v>
      </c>
      <c r="H854" s="55">
        <f t="shared" si="27"/>
        <v>2.959094972683018E-4</v>
      </c>
    </row>
    <row r="855" spans="2:8">
      <c r="B855" s="54">
        <v>44419</v>
      </c>
      <c r="C855" s="46">
        <v>103.459999</v>
      </c>
      <c r="D855" s="55">
        <f t="shared" si="26"/>
        <v>1.7505891030684395E-2</v>
      </c>
      <c r="F855" s="60">
        <v>44419</v>
      </c>
      <c r="G855" s="47">
        <v>98.978012000000007</v>
      </c>
      <c r="H855" s="55">
        <f t="shared" si="27"/>
        <v>2.5635877433258466E-3</v>
      </c>
    </row>
    <row r="856" spans="2:8">
      <c r="B856" s="54">
        <v>44420</v>
      </c>
      <c r="C856" s="46">
        <v>103.019997</v>
      </c>
      <c r="D856" s="55">
        <f t="shared" si="26"/>
        <v>-4.2528707157632262E-3</v>
      </c>
      <c r="F856" s="60">
        <v>44420</v>
      </c>
      <c r="G856" s="47">
        <v>99.270049999999998</v>
      </c>
      <c r="H856" s="55">
        <f t="shared" si="27"/>
        <v>2.9505341044836391E-3</v>
      </c>
    </row>
    <row r="857" spans="2:8">
      <c r="B857" s="54">
        <v>44421</v>
      </c>
      <c r="C857" s="46">
        <v>101.779999</v>
      </c>
      <c r="D857" s="55">
        <f t="shared" si="26"/>
        <v>-1.2036478704226713E-2</v>
      </c>
      <c r="F857" s="60">
        <v>44421</v>
      </c>
      <c r="G857" s="47">
        <v>99.318709999999996</v>
      </c>
      <c r="H857" s="55">
        <f t="shared" si="27"/>
        <v>4.9017805471033963E-4</v>
      </c>
    </row>
    <row r="858" spans="2:8">
      <c r="B858" s="54">
        <v>44424</v>
      </c>
      <c r="C858" s="46">
        <v>101.639999</v>
      </c>
      <c r="D858" s="55">
        <f t="shared" si="26"/>
        <v>-1.3755158319465159E-3</v>
      </c>
      <c r="F858" s="60">
        <v>44424</v>
      </c>
      <c r="G858" s="47">
        <v>99.435531999999995</v>
      </c>
      <c r="H858" s="55">
        <f t="shared" si="27"/>
        <v>1.1762335616320339E-3</v>
      </c>
    </row>
    <row r="859" spans="2:8">
      <c r="B859" s="54">
        <v>44425</v>
      </c>
      <c r="C859" s="46">
        <v>99.879997000000003</v>
      </c>
      <c r="D859" s="55">
        <f t="shared" si="26"/>
        <v>-1.7316037163676083E-2</v>
      </c>
      <c r="F859" s="60">
        <v>44425</v>
      </c>
      <c r="G859" s="47">
        <v>98.656791999999996</v>
      </c>
      <c r="H859" s="55">
        <f t="shared" si="27"/>
        <v>-7.8316069149205053E-3</v>
      </c>
    </row>
    <row r="860" spans="2:8">
      <c r="B860" s="54">
        <v>44426</v>
      </c>
      <c r="C860" s="46">
        <v>100.30999799999999</v>
      </c>
      <c r="D860" s="55">
        <f t="shared" si="26"/>
        <v>4.3051763407641079E-3</v>
      </c>
      <c r="F860" s="60">
        <v>44426</v>
      </c>
      <c r="G860" s="47">
        <v>97.683357000000001</v>
      </c>
      <c r="H860" s="55">
        <f t="shared" si="27"/>
        <v>-9.866882758563596E-3</v>
      </c>
    </row>
    <row r="861" spans="2:8">
      <c r="B861" s="54">
        <v>44427</v>
      </c>
      <c r="C861" s="46">
        <v>100.449997</v>
      </c>
      <c r="D861" s="55">
        <f t="shared" si="26"/>
        <v>1.395663471152727E-3</v>
      </c>
      <c r="F861" s="60">
        <v>44427</v>
      </c>
      <c r="G861" s="47">
        <v>97.634697000000003</v>
      </c>
      <c r="H861" s="55">
        <f t="shared" si="27"/>
        <v>-4.9814012841510092E-4</v>
      </c>
    </row>
    <row r="862" spans="2:8">
      <c r="B862" s="54">
        <v>44428</v>
      </c>
      <c r="C862" s="46">
        <v>100.93</v>
      </c>
      <c r="D862" s="55">
        <f t="shared" si="26"/>
        <v>4.7785267728779586E-3</v>
      </c>
      <c r="F862" s="60">
        <v>44428</v>
      </c>
      <c r="G862" s="47">
        <v>98.491302000000005</v>
      </c>
      <c r="H862" s="55">
        <f t="shared" si="27"/>
        <v>8.7735715511054625E-3</v>
      </c>
    </row>
    <row r="863" spans="2:8">
      <c r="B863" s="54">
        <v>44431</v>
      </c>
      <c r="C863" s="46">
        <v>101.290001</v>
      </c>
      <c r="D863" s="55">
        <f t="shared" si="26"/>
        <v>3.5668384028534317E-3</v>
      </c>
      <c r="F863" s="60">
        <v>44431</v>
      </c>
      <c r="G863" s="47">
        <v>99.484200000000001</v>
      </c>
      <c r="H863" s="55">
        <f t="shared" si="27"/>
        <v>1.0081072945913505E-2</v>
      </c>
    </row>
    <row r="864" spans="2:8">
      <c r="B864" s="54">
        <v>44432</v>
      </c>
      <c r="C864" s="46">
        <v>101.66999800000001</v>
      </c>
      <c r="D864" s="55">
        <f t="shared" si="26"/>
        <v>3.7515746495056608E-3</v>
      </c>
      <c r="F864" s="60">
        <v>44432</v>
      </c>
      <c r="G864" s="47">
        <v>99.756766999999996</v>
      </c>
      <c r="H864" s="55">
        <f t="shared" si="27"/>
        <v>2.7398018981908195E-3</v>
      </c>
    </row>
    <row r="865" spans="2:8">
      <c r="B865" s="54">
        <v>44433</v>
      </c>
      <c r="C865" s="46">
        <v>101.599998</v>
      </c>
      <c r="D865" s="55">
        <f t="shared" si="26"/>
        <v>-6.8850202987126433E-4</v>
      </c>
      <c r="F865" s="60">
        <v>44433</v>
      </c>
      <c r="G865" s="47">
        <v>100.087723</v>
      </c>
      <c r="H865" s="55">
        <f t="shared" si="27"/>
        <v>3.3176295699318373E-3</v>
      </c>
    </row>
    <row r="866" spans="2:8">
      <c r="B866" s="54">
        <v>44434</v>
      </c>
      <c r="C866" s="46">
        <v>101.050003</v>
      </c>
      <c r="D866" s="55">
        <f t="shared" si="26"/>
        <v>-5.4133367207349313E-3</v>
      </c>
      <c r="F866" s="60">
        <v>44434</v>
      </c>
      <c r="G866" s="47">
        <v>99.464721999999995</v>
      </c>
      <c r="H866" s="55">
        <f t="shared" si="27"/>
        <v>-6.2245496383207975E-3</v>
      </c>
    </row>
    <row r="867" spans="2:8">
      <c r="B867" s="54">
        <v>44435</v>
      </c>
      <c r="C867" s="46">
        <v>102.93</v>
      </c>
      <c r="D867" s="55">
        <f t="shared" si="26"/>
        <v>1.8604620922178527E-2</v>
      </c>
      <c r="F867" s="60">
        <v>44435</v>
      </c>
      <c r="G867" s="47">
        <v>100.516037</v>
      </c>
      <c r="H867" s="55">
        <f t="shared" si="27"/>
        <v>1.0569727425569062E-2</v>
      </c>
    </row>
    <row r="868" spans="2:8">
      <c r="B868" s="54">
        <v>44438</v>
      </c>
      <c r="C868" s="46">
        <v>102.510002</v>
      </c>
      <c r="D868" s="55">
        <f t="shared" si="26"/>
        <v>-4.0804235888468546E-3</v>
      </c>
      <c r="F868" s="60">
        <v>44438</v>
      </c>
      <c r="G868" s="47">
        <v>100.856735</v>
      </c>
      <c r="H868" s="55">
        <f t="shared" si="27"/>
        <v>3.3894889827381803E-3</v>
      </c>
    </row>
    <row r="869" spans="2:8">
      <c r="B869" s="54">
        <v>44439</v>
      </c>
      <c r="C869" s="46">
        <v>102.620003</v>
      </c>
      <c r="D869" s="55">
        <f t="shared" si="26"/>
        <v>1.0730757765471208E-3</v>
      </c>
      <c r="F869" s="60">
        <v>44439</v>
      </c>
      <c r="G869" s="47">
        <v>100.662048</v>
      </c>
      <c r="H869" s="55">
        <f t="shared" si="27"/>
        <v>-1.930332168694553E-3</v>
      </c>
    </row>
    <row r="870" spans="2:8">
      <c r="B870" s="54">
        <v>44440</v>
      </c>
      <c r="C870" s="46">
        <v>103.639999</v>
      </c>
      <c r="D870" s="55">
        <f t="shared" si="26"/>
        <v>9.9395436579748121E-3</v>
      </c>
      <c r="F870" s="60">
        <v>44440</v>
      </c>
      <c r="G870" s="47">
        <v>100.84699999999999</v>
      </c>
      <c r="H870" s="55">
        <f t="shared" si="27"/>
        <v>1.8373558225240516E-3</v>
      </c>
    </row>
    <row r="871" spans="2:8">
      <c r="B871" s="54">
        <v>44441</v>
      </c>
      <c r="C871" s="46">
        <v>105.480003</v>
      </c>
      <c r="D871" s="55">
        <f t="shared" si="26"/>
        <v>1.7753801792298293E-2</v>
      </c>
      <c r="F871" s="60">
        <v>44441</v>
      </c>
      <c r="G871" s="47">
        <v>101.197433</v>
      </c>
      <c r="H871" s="55">
        <f t="shared" si="27"/>
        <v>3.4748976171825592E-3</v>
      </c>
    </row>
    <row r="872" spans="2:8">
      <c r="B872" s="54">
        <v>44442</v>
      </c>
      <c r="C872" s="46">
        <v>102.660004</v>
      </c>
      <c r="D872" s="55">
        <f t="shared" si="26"/>
        <v>-2.6734915811483205E-2</v>
      </c>
      <c r="F872" s="60">
        <v>44442</v>
      </c>
      <c r="G872" s="47">
        <v>101.13902299999999</v>
      </c>
      <c r="H872" s="55">
        <f t="shared" si="27"/>
        <v>-5.7718855378484921E-4</v>
      </c>
    </row>
    <row r="873" spans="2:8">
      <c r="B873" s="54">
        <v>44446</v>
      </c>
      <c r="C873" s="46">
        <v>100.709999</v>
      </c>
      <c r="D873" s="55">
        <f t="shared" si="26"/>
        <v>-1.8994787882533146E-2</v>
      </c>
      <c r="F873" s="60">
        <v>44446</v>
      </c>
      <c r="G873" s="47">
        <v>100.662048</v>
      </c>
      <c r="H873" s="55">
        <f t="shared" si="27"/>
        <v>-4.7160332960700631E-3</v>
      </c>
    </row>
    <row r="874" spans="2:8">
      <c r="B874" s="54">
        <v>44447</v>
      </c>
      <c r="C874" s="46">
        <v>101.18</v>
      </c>
      <c r="D874" s="55">
        <f t="shared" si="26"/>
        <v>4.6668752325179806E-3</v>
      </c>
      <c r="F874" s="60">
        <v>44447</v>
      </c>
      <c r="G874" s="47">
        <v>100.447906</v>
      </c>
      <c r="H874" s="55">
        <f t="shared" si="27"/>
        <v>-2.1273360144629222E-3</v>
      </c>
    </row>
    <row r="875" spans="2:8">
      <c r="B875" s="54">
        <v>44448</v>
      </c>
      <c r="C875" s="46">
        <v>100.58000199999999</v>
      </c>
      <c r="D875" s="55">
        <f t="shared" si="26"/>
        <v>-5.9300059300258301E-3</v>
      </c>
      <c r="F875" s="60">
        <v>44448</v>
      </c>
      <c r="G875" s="47">
        <v>100.087723</v>
      </c>
      <c r="H875" s="55">
        <f t="shared" si="27"/>
        <v>-3.5857691249432948E-3</v>
      </c>
    </row>
    <row r="876" spans="2:8">
      <c r="B876" s="54">
        <v>44449</v>
      </c>
      <c r="C876" s="46">
        <v>100.760002</v>
      </c>
      <c r="D876" s="55">
        <f t="shared" si="26"/>
        <v>1.7896201672376864E-3</v>
      </c>
      <c r="F876" s="60">
        <v>44449</v>
      </c>
      <c r="G876" s="47">
        <v>99.289519999999996</v>
      </c>
      <c r="H876" s="55">
        <f t="shared" si="27"/>
        <v>-7.9750340608707917E-3</v>
      </c>
    </row>
    <row r="877" spans="2:8">
      <c r="B877" s="54">
        <v>44452</v>
      </c>
      <c r="C877" s="46">
        <v>100.889999</v>
      </c>
      <c r="D877" s="55">
        <f t="shared" si="26"/>
        <v>1.2901647223072011E-3</v>
      </c>
      <c r="F877" s="60">
        <v>44452</v>
      </c>
      <c r="G877" s="47">
        <v>99.513412000000002</v>
      </c>
      <c r="H877" s="55">
        <f t="shared" si="27"/>
        <v>2.254940904135768E-3</v>
      </c>
    </row>
    <row r="878" spans="2:8">
      <c r="B878" s="54">
        <v>44453</v>
      </c>
      <c r="C878" s="46">
        <v>98.82</v>
      </c>
      <c r="D878" s="55">
        <f t="shared" si="26"/>
        <v>-2.0517385474451335E-2</v>
      </c>
      <c r="F878" s="60">
        <v>44453</v>
      </c>
      <c r="G878" s="47">
        <v>98.851478999999998</v>
      </c>
      <c r="H878" s="55">
        <f t="shared" si="27"/>
        <v>-6.6516963562660751E-3</v>
      </c>
    </row>
    <row r="879" spans="2:8">
      <c r="B879" s="54">
        <v>44454</v>
      </c>
      <c r="C879" s="46">
        <v>100.779999</v>
      </c>
      <c r="D879" s="55">
        <f t="shared" si="26"/>
        <v>1.9834031572556272E-2</v>
      </c>
      <c r="F879" s="60">
        <v>44454</v>
      </c>
      <c r="G879" s="47">
        <v>99.766495000000006</v>
      </c>
      <c r="H879" s="55">
        <f t="shared" si="27"/>
        <v>9.2564725308764331E-3</v>
      </c>
    </row>
    <row r="880" spans="2:8">
      <c r="B880" s="54">
        <v>44455</v>
      </c>
      <c r="C880" s="46">
        <v>99.790001000000004</v>
      </c>
      <c r="D880" s="55">
        <f t="shared" si="26"/>
        <v>-9.8233579065623907E-3</v>
      </c>
      <c r="F880" s="60">
        <v>44455</v>
      </c>
      <c r="G880" s="47">
        <v>99.649688999999995</v>
      </c>
      <c r="H880" s="55">
        <f t="shared" si="27"/>
        <v>-1.1707938622080596E-3</v>
      </c>
    </row>
    <row r="881" spans="2:8">
      <c r="B881" s="54">
        <v>44456</v>
      </c>
      <c r="C881" s="46">
        <v>99.019997000000004</v>
      </c>
      <c r="D881" s="55">
        <f t="shared" si="26"/>
        <v>-7.7162440353117151E-3</v>
      </c>
      <c r="F881" s="60">
        <v>44456</v>
      </c>
      <c r="G881" s="47">
        <v>98.870934000000005</v>
      </c>
      <c r="H881" s="55">
        <f t="shared" si="27"/>
        <v>-7.814926547337139E-3</v>
      </c>
    </row>
    <row r="882" spans="2:8">
      <c r="B882" s="54">
        <v>44459</v>
      </c>
      <c r="C882" s="46">
        <v>97.18</v>
      </c>
      <c r="D882" s="55">
        <f t="shared" si="26"/>
        <v>-1.8582074891397914E-2</v>
      </c>
      <c r="F882" s="60">
        <v>44459</v>
      </c>
      <c r="G882" s="47">
        <v>97.138244999999998</v>
      </c>
      <c r="H882" s="55">
        <f t="shared" si="27"/>
        <v>-1.7524756062282244E-2</v>
      </c>
    </row>
    <row r="883" spans="2:8">
      <c r="B883" s="54">
        <v>44460</v>
      </c>
      <c r="C883" s="46">
        <v>99.379997000000003</v>
      </c>
      <c r="D883" s="55">
        <f t="shared" si="26"/>
        <v>2.2638372093023214E-2</v>
      </c>
      <c r="F883" s="60">
        <v>44460</v>
      </c>
      <c r="G883" s="47">
        <v>97.118774000000002</v>
      </c>
      <c r="H883" s="55">
        <f t="shared" si="27"/>
        <v>-2.0044628148260037E-4</v>
      </c>
    </row>
    <row r="884" spans="2:8">
      <c r="B884" s="54">
        <v>44461</v>
      </c>
      <c r="C884" s="46">
        <v>101.879997</v>
      </c>
      <c r="D884" s="55">
        <f t="shared" si="26"/>
        <v>2.5155967754758535E-2</v>
      </c>
      <c r="F884" s="60">
        <v>44461</v>
      </c>
      <c r="G884" s="47">
        <v>98.101928999999998</v>
      </c>
      <c r="H884" s="55">
        <f t="shared" si="27"/>
        <v>1.0123222931129633E-2</v>
      </c>
    </row>
    <row r="885" spans="2:8">
      <c r="B885" s="54">
        <v>44462</v>
      </c>
      <c r="C885" s="46">
        <v>103.75</v>
      </c>
      <c r="D885" s="55">
        <f t="shared" si="26"/>
        <v>1.8354957352423134E-2</v>
      </c>
      <c r="F885" s="60">
        <v>44462</v>
      </c>
      <c r="G885" s="47">
        <v>99.318709999999996</v>
      </c>
      <c r="H885" s="55">
        <f t="shared" si="27"/>
        <v>1.2403232152550205E-2</v>
      </c>
    </row>
    <row r="886" spans="2:8">
      <c r="B886" s="54">
        <v>44463</v>
      </c>
      <c r="C886" s="46">
        <v>103.620003</v>
      </c>
      <c r="D886" s="55">
        <f t="shared" si="26"/>
        <v>-1.2529831325301497E-3</v>
      </c>
      <c r="F886" s="60">
        <v>44463</v>
      </c>
      <c r="G886" s="47">
        <v>99.345100000000002</v>
      </c>
      <c r="H886" s="55">
        <f t="shared" si="27"/>
        <v>2.6571025741279112E-4</v>
      </c>
    </row>
    <row r="887" spans="2:8">
      <c r="B887" s="54">
        <v>44466</v>
      </c>
      <c r="C887" s="46">
        <v>105.129997</v>
      </c>
      <c r="D887" s="55">
        <f t="shared" si="26"/>
        <v>1.4572418030136576E-2</v>
      </c>
      <c r="F887" s="60">
        <v>44466</v>
      </c>
      <c r="G887" s="47">
        <v>99.179001</v>
      </c>
      <c r="H887" s="55">
        <f t="shared" si="27"/>
        <v>-1.6719395319950623E-3</v>
      </c>
    </row>
    <row r="888" spans="2:8">
      <c r="B888" s="54">
        <v>44467</v>
      </c>
      <c r="C888" s="46">
        <v>103.989998</v>
      </c>
      <c r="D888" s="55">
        <f t="shared" si="26"/>
        <v>-1.0843708099791946E-2</v>
      </c>
      <c r="F888" s="60">
        <v>44467</v>
      </c>
      <c r="G888" s="47">
        <v>97.068816999999996</v>
      </c>
      <c r="H888" s="55">
        <f t="shared" si="27"/>
        <v>-2.1276520016570884E-2</v>
      </c>
    </row>
    <row r="889" spans="2:8">
      <c r="B889" s="54">
        <v>44468</v>
      </c>
      <c r="C889" s="46">
        <v>105.41999800000001</v>
      </c>
      <c r="D889" s="55">
        <f t="shared" si="26"/>
        <v>1.3751322506997326E-2</v>
      </c>
      <c r="F889" s="60">
        <v>44468</v>
      </c>
      <c r="G889" s="47">
        <v>97.186058000000003</v>
      </c>
      <c r="H889" s="55">
        <f t="shared" si="27"/>
        <v>1.207813215648925E-3</v>
      </c>
    </row>
    <row r="890" spans="2:8">
      <c r="B890" s="54">
        <v>44469</v>
      </c>
      <c r="C890" s="46">
        <v>103.870003</v>
      </c>
      <c r="D890" s="55">
        <f t="shared" si="26"/>
        <v>-1.470304524194745E-2</v>
      </c>
      <c r="F890" s="60">
        <v>44469</v>
      </c>
      <c r="G890" s="47">
        <v>96.111412000000001</v>
      </c>
      <c r="H890" s="55">
        <f t="shared" si="27"/>
        <v>-1.1057614868996963E-2</v>
      </c>
    </row>
    <row r="891" spans="2:8">
      <c r="B891" s="54">
        <v>44470</v>
      </c>
      <c r="C891" s="46">
        <v>107.410004</v>
      </c>
      <c r="D891" s="55">
        <f t="shared" si="26"/>
        <v>3.4081071510126015E-2</v>
      </c>
      <c r="F891" s="60">
        <v>44470</v>
      </c>
      <c r="G891" s="47">
        <v>97.342360999999997</v>
      </c>
      <c r="H891" s="55">
        <f t="shared" si="27"/>
        <v>1.2807521754024333E-2</v>
      </c>
    </row>
    <row r="892" spans="2:8">
      <c r="B892" s="54">
        <v>44473</v>
      </c>
      <c r="C892" s="46">
        <v>106.879997</v>
      </c>
      <c r="D892" s="55">
        <f t="shared" si="26"/>
        <v>-4.9344286403713161E-3</v>
      </c>
      <c r="F892" s="60">
        <v>44473</v>
      </c>
      <c r="G892" s="47">
        <v>95.974648000000002</v>
      </c>
      <c r="H892" s="55">
        <f t="shared" si="27"/>
        <v>-1.4050542702575242E-2</v>
      </c>
    </row>
    <row r="893" spans="2:8">
      <c r="B893" s="54">
        <v>44474</v>
      </c>
      <c r="C893" s="46">
        <v>108.07</v>
      </c>
      <c r="D893" s="55">
        <f t="shared" si="26"/>
        <v>1.1134010417309331E-2</v>
      </c>
      <c r="F893" s="60">
        <v>44474</v>
      </c>
      <c r="G893" s="47">
        <v>96.873444000000006</v>
      </c>
      <c r="H893" s="55">
        <f t="shared" si="27"/>
        <v>9.3649314556486247E-3</v>
      </c>
    </row>
    <row r="894" spans="2:8">
      <c r="B894" s="54">
        <v>44475</v>
      </c>
      <c r="C894" s="46">
        <v>105.610001</v>
      </c>
      <c r="D894" s="55">
        <f t="shared" si="26"/>
        <v>-2.2763014712686189E-2</v>
      </c>
      <c r="F894" s="60">
        <v>44475</v>
      </c>
      <c r="G894" s="47">
        <v>97.225127999999998</v>
      </c>
      <c r="H894" s="55">
        <f t="shared" si="27"/>
        <v>3.6303447619761681E-3</v>
      </c>
    </row>
    <row r="895" spans="2:8">
      <c r="B895" s="54">
        <v>44476</v>
      </c>
      <c r="C895" s="46">
        <v>107.220001</v>
      </c>
      <c r="D895" s="55">
        <f t="shared" si="26"/>
        <v>1.524476834348292E-2</v>
      </c>
      <c r="F895" s="60">
        <v>44476</v>
      </c>
      <c r="G895" s="47">
        <v>98.172768000000005</v>
      </c>
      <c r="H895" s="55">
        <f t="shared" si="27"/>
        <v>9.7468629714738651E-3</v>
      </c>
    </row>
    <row r="896" spans="2:8">
      <c r="B896" s="54">
        <v>44477</v>
      </c>
      <c r="C896" s="46">
        <v>106.540001</v>
      </c>
      <c r="D896" s="55">
        <f t="shared" si="26"/>
        <v>-6.3421002952610741E-3</v>
      </c>
      <c r="F896" s="60">
        <v>44477</v>
      </c>
      <c r="G896" s="47">
        <v>97.908989000000005</v>
      </c>
      <c r="H896" s="55">
        <f t="shared" si="27"/>
        <v>-2.6868856341098536E-3</v>
      </c>
    </row>
    <row r="897" spans="2:8">
      <c r="B897" s="54">
        <v>44480</v>
      </c>
      <c r="C897" s="46">
        <v>106.389999</v>
      </c>
      <c r="D897" s="55">
        <f t="shared" si="26"/>
        <v>-1.4079406663418431E-3</v>
      </c>
      <c r="F897" s="60">
        <v>44480</v>
      </c>
      <c r="G897" s="47">
        <v>97.273972000000001</v>
      </c>
      <c r="H897" s="55">
        <f t="shared" si="27"/>
        <v>-6.4857885520603707E-3</v>
      </c>
    </row>
    <row r="898" spans="2:8">
      <c r="B898" s="54">
        <v>44481</v>
      </c>
      <c r="C898" s="46">
        <v>106.989998</v>
      </c>
      <c r="D898" s="55">
        <f t="shared" si="26"/>
        <v>5.6396184381954624E-3</v>
      </c>
      <c r="F898" s="60">
        <v>44481</v>
      </c>
      <c r="G898" s="47">
        <v>97.176284999999993</v>
      </c>
      <c r="H898" s="55">
        <f t="shared" si="27"/>
        <v>-1.0042460279097848E-3</v>
      </c>
    </row>
    <row r="899" spans="2:8">
      <c r="B899" s="54">
        <v>44482</v>
      </c>
      <c r="C899" s="46">
        <v>107.16999800000001</v>
      </c>
      <c r="D899" s="55">
        <f t="shared" si="26"/>
        <v>1.6824002557697666E-3</v>
      </c>
      <c r="F899" s="60">
        <v>44482</v>
      </c>
      <c r="G899" s="47">
        <v>97.635445000000004</v>
      </c>
      <c r="H899" s="55">
        <f t="shared" si="27"/>
        <v>4.7250211304127477E-3</v>
      </c>
    </row>
    <row r="900" spans="2:8">
      <c r="B900" s="54">
        <v>44483</v>
      </c>
      <c r="C900" s="46">
        <v>108.139999</v>
      </c>
      <c r="D900" s="55">
        <f t="shared" si="26"/>
        <v>9.051049902977476E-3</v>
      </c>
      <c r="F900" s="60">
        <v>44483</v>
      </c>
      <c r="G900" s="47">
        <v>99.276718000000002</v>
      </c>
      <c r="H900" s="55">
        <f t="shared" si="27"/>
        <v>1.6810216822384514E-2</v>
      </c>
    </row>
    <row r="901" spans="2:8">
      <c r="B901" s="54">
        <v>44484</v>
      </c>
      <c r="C901" s="46">
        <v>107.91999800000001</v>
      </c>
      <c r="D901" s="55">
        <f t="shared" si="26"/>
        <v>-2.0344091181284025E-3</v>
      </c>
      <c r="F901" s="60">
        <v>44484</v>
      </c>
      <c r="G901" s="47">
        <v>99.833564999999993</v>
      </c>
      <c r="H901" s="55">
        <f t="shared" si="27"/>
        <v>5.6090391706944877E-3</v>
      </c>
    </row>
    <row r="902" spans="2:8">
      <c r="B902" s="54">
        <v>44487</v>
      </c>
      <c r="C902" s="46">
        <v>110.489998</v>
      </c>
      <c r="D902" s="55">
        <f t="shared" ref="D902:D965" si="28">(C902-C901)/C901</f>
        <v>2.3813936690399058E-2</v>
      </c>
      <c r="F902" s="60">
        <v>44487</v>
      </c>
      <c r="G902" s="47">
        <v>100.224335</v>
      </c>
      <c r="H902" s="55">
        <f t="shared" ref="H902:H965" si="29">(G902-G901)/G901</f>
        <v>3.9142146231080036E-3</v>
      </c>
    </row>
    <row r="903" spans="2:8">
      <c r="B903" s="54">
        <v>44488</v>
      </c>
      <c r="C903" s="46">
        <v>111.639999</v>
      </c>
      <c r="D903" s="55">
        <f t="shared" si="28"/>
        <v>1.0408190974897142E-2</v>
      </c>
      <c r="F903" s="60">
        <v>44488</v>
      </c>
      <c r="G903" s="47">
        <v>100.89843</v>
      </c>
      <c r="H903" s="55">
        <f t="shared" si="29"/>
        <v>6.7258615385176503E-3</v>
      </c>
    </row>
    <row r="904" spans="2:8">
      <c r="B904" s="54">
        <v>44489</v>
      </c>
      <c r="C904" s="46">
        <v>111.879997</v>
      </c>
      <c r="D904" s="55">
        <f t="shared" si="28"/>
        <v>2.1497492130934178E-3</v>
      </c>
      <c r="F904" s="60">
        <v>44489</v>
      </c>
      <c r="G904" s="47">
        <v>101.318504</v>
      </c>
      <c r="H904" s="55">
        <f t="shared" si="29"/>
        <v>4.1633353462486936E-3</v>
      </c>
    </row>
    <row r="905" spans="2:8">
      <c r="B905" s="54">
        <v>44490</v>
      </c>
      <c r="C905" s="46">
        <v>113.94000200000001</v>
      </c>
      <c r="D905" s="55">
        <f t="shared" si="28"/>
        <v>1.8412630096870702E-2</v>
      </c>
      <c r="F905" s="60">
        <v>44490</v>
      </c>
      <c r="G905" s="47">
        <v>101.631134</v>
      </c>
      <c r="H905" s="55">
        <f t="shared" si="29"/>
        <v>3.0856160292299481E-3</v>
      </c>
    </row>
    <row r="906" spans="2:8">
      <c r="B906" s="54">
        <v>44491</v>
      </c>
      <c r="C906" s="46">
        <v>114.779999</v>
      </c>
      <c r="D906" s="55">
        <f t="shared" si="28"/>
        <v>7.3722747521102966E-3</v>
      </c>
      <c r="F906" s="60">
        <v>44491</v>
      </c>
      <c r="G906" s="47">
        <v>101.42598</v>
      </c>
      <c r="H906" s="55">
        <f t="shared" si="29"/>
        <v>-2.0186137055206665E-3</v>
      </c>
    </row>
    <row r="907" spans="2:8">
      <c r="B907" s="54">
        <v>44494</v>
      </c>
      <c r="C907" s="46">
        <v>114.279999</v>
      </c>
      <c r="D907" s="55">
        <f t="shared" si="28"/>
        <v>-4.356159647640352E-3</v>
      </c>
      <c r="F907" s="60">
        <v>44494</v>
      </c>
      <c r="G907" s="47">
        <v>101.99260700000001</v>
      </c>
      <c r="H907" s="55">
        <f t="shared" si="29"/>
        <v>5.5866061141337858E-3</v>
      </c>
    </row>
    <row r="908" spans="2:8">
      <c r="B908" s="54">
        <v>44495</v>
      </c>
      <c r="C908" s="46">
        <v>113.550003</v>
      </c>
      <c r="D908" s="55">
        <f t="shared" si="28"/>
        <v>-6.3877844451153687E-3</v>
      </c>
      <c r="F908" s="60">
        <v>44495</v>
      </c>
      <c r="G908" s="47">
        <v>102.02190400000001</v>
      </c>
      <c r="H908" s="55">
        <f t="shared" si="29"/>
        <v>2.8724630992126401E-4</v>
      </c>
    </row>
    <row r="909" spans="2:8">
      <c r="B909" s="54">
        <v>44496</v>
      </c>
      <c r="C909" s="46">
        <v>111.629997</v>
      </c>
      <c r="D909" s="55">
        <f t="shared" si="28"/>
        <v>-1.6908903119976147E-2</v>
      </c>
      <c r="F909" s="60">
        <v>44496</v>
      </c>
      <c r="G909" s="47">
        <v>101.25990299999999</v>
      </c>
      <c r="H909" s="55">
        <f t="shared" si="29"/>
        <v>-7.4689941093435399E-3</v>
      </c>
    </row>
    <row r="910" spans="2:8">
      <c r="B910" s="54">
        <v>44497</v>
      </c>
      <c r="C910" s="46">
        <v>112.370003</v>
      </c>
      <c r="D910" s="55">
        <f t="shared" si="28"/>
        <v>6.6290962992679638E-3</v>
      </c>
      <c r="F910" s="60">
        <v>44497</v>
      </c>
      <c r="G910" s="47">
        <v>102.41269699999999</v>
      </c>
      <c r="H910" s="55">
        <f t="shared" si="29"/>
        <v>1.1384506264044122E-2</v>
      </c>
    </row>
    <row r="911" spans="2:8">
      <c r="B911" s="54">
        <v>44498</v>
      </c>
      <c r="C911" s="46">
        <v>112.540001</v>
      </c>
      <c r="D911" s="55">
        <f t="shared" si="28"/>
        <v>1.5128414653509154E-3</v>
      </c>
      <c r="F911" s="60">
        <v>44498</v>
      </c>
      <c r="G911" s="47">
        <v>102.520157</v>
      </c>
      <c r="H911" s="55">
        <f t="shared" si="29"/>
        <v>1.0492839574374575E-3</v>
      </c>
    </row>
    <row r="912" spans="2:8">
      <c r="B912" s="54">
        <v>44501</v>
      </c>
      <c r="C912" s="46">
        <v>115.69000200000001</v>
      </c>
      <c r="D912" s="55">
        <f t="shared" si="28"/>
        <v>2.7990056619956873E-2</v>
      </c>
      <c r="F912" s="60">
        <v>44501</v>
      </c>
      <c r="G912" s="47">
        <v>103.037933</v>
      </c>
      <c r="H912" s="55">
        <f t="shared" si="29"/>
        <v>5.0504799753671639E-3</v>
      </c>
    </row>
    <row r="913" spans="2:8">
      <c r="B913" s="54">
        <v>44502</v>
      </c>
      <c r="C913" s="46">
        <v>117.150002</v>
      </c>
      <c r="D913" s="55">
        <f t="shared" si="28"/>
        <v>1.2619932360274259E-2</v>
      </c>
      <c r="F913" s="60">
        <v>44502</v>
      </c>
      <c r="G913" s="47">
        <v>103.340767</v>
      </c>
      <c r="H913" s="55">
        <f t="shared" si="29"/>
        <v>2.9390535231331194E-3</v>
      </c>
    </row>
    <row r="914" spans="2:8">
      <c r="B914" s="54">
        <v>44503</v>
      </c>
      <c r="C914" s="46">
        <v>107.25</v>
      </c>
      <c r="D914" s="55">
        <f t="shared" si="28"/>
        <v>-8.450705788293543E-2</v>
      </c>
      <c r="F914" s="60">
        <v>44503</v>
      </c>
      <c r="G914" s="47">
        <v>104.13209500000001</v>
      </c>
      <c r="H914" s="55">
        <f t="shared" si="29"/>
        <v>7.6574620352876533E-3</v>
      </c>
    </row>
    <row r="915" spans="2:8">
      <c r="B915" s="54">
        <v>44504</v>
      </c>
      <c r="C915" s="46">
        <v>105.410004</v>
      </c>
      <c r="D915" s="55">
        <f t="shared" si="28"/>
        <v>-1.7156139860139853E-2</v>
      </c>
      <c r="F915" s="60">
        <v>44504</v>
      </c>
      <c r="G915" s="47">
        <v>104.483795</v>
      </c>
      <c r="H915" s="55">
        <f t="shared" si="29"/>
        <v>3.3774409321160196E-3</v>
      </c>
    </row>
    <row r="916" spans="2:8">
      <c r="B916" s="54">
        <v>44505</v>
      </c>
      <c r="C916" s="46">
        <v>106.099998</v>
      </c>
      <c r="D916" s="55">
        <f t="shared" si="28"/>
        <v>6.5458113444336712E-3</v>
      </c>
      <c r="F916" s="60">
        <v>44505</v>
      </c>
      <c r="G916" s="47">
        <v>104.87457999999999</v>
      </c>
      <c r="H916" s="55">
        <f t="shared" si="29"/>
        <v>3.7401493695744296E-3</v>
      </c>
    </row>
    <row r="917" spans="2:8">
      <c r="B917" s="54">
        <v>44508</v>
      </c>
      <c r="C917" s="46">
        <v>107.41999800000001</v>
      </c>
      <c r="D917" s="55">
        <f t="shared" si="28"/>
        <v>1.2441093542716254E-2</v>
      </c>
      <c r="F917" s="60">
        <v>44508</v>
      </c>
      <c r="G917" s="47">
        <v>105.09927399999999</v>
      </c>
      <c r="H917" s="55">
        <f t="shared" si="29"/>
        <v>2.1425020247995228E-3</v>
      </c>
    </row>
    <row r="918" spans="2:8">
      <c r="B918" s="54">
        <v>44509</v>
      </c>
      <c r="C918" s="46">
        <v>107.43</v>
      </c>
      <c r="D918" s="55">
        <f t="shared" si="28"/>
        <v>9.3111154219161933E-5</v>
      </c>
      <c r="F918" s="60">
        <v>44509</v>
      </c>
      <c r="G918" s="47">
        <v>104.728027</v>
      </c>
      <c r="H918" s="55">
        <f t="shared" si="29"/>
        <v>-3.5323459988886013E-3</v>
      </c>
    </row>
    <row r="919" spans="2:8">
      <c r="B919" s="54">
        <v>44510</v>
      </c>
      <c r="C919" s="46">
        <v>107.80999799999999</v>
      </c>
      <c r="D919" s="55">
        <f t="shared" si="28"/>
        <v>3.5371683887181074E-3</v>
      </c>
      <c r="F919" s="60">
        <v>44510</v>
      </c>
      <c r="G919" s="47">
        <v>103.751091</v>
      </c>
      <c r="H919" s="55">
        <f t="shared" si="29"/>
        <v>-9.3283147595246401E-3</v>
      </c>
    </row>
    <row r="920" spans="2:8">
      <c r="B920" s="54">
        <v>44511</v>
      </c>
      <c r="C920" s="46">
        <v>105.779999</v>
      </c>
      <c r="D920" s="55">
        <f t="shared" si="28"/>
        <v>-1.8829413205257547E-2</v>
      </c>
      <c r="F920" s="60">
        <v>44511</v>
      </c>
      <c r="G920" s="47">
        <v>103.89763600000001</v>
      </c>
      <c r="H920" s="55">
        <f t="shared" si="29"/>
        <v>1.4124670746836123E-3</v>
      </c>
    </row>
    <row r="921" spans="2:8">
      <c r="B921" s="54">
        <v>44512</v>
      </c>
      <c r="C921" s="46">
        <v>106.110001</v>
      </c>
      <c r="D921" s="55">
        <f t="shared" si="28"/>
        <v>3.1197012962724006E-3</v>
      </c>
      <c r="F921" s="60">
        <v>44512</v>
      </c>
      <c r="G921" s="47">
        <v>104.649879</v>
      </c>
      <c r="H921" s="55">
        <f t="shared" si="29"/>
        <v>7.2402321069171662E-3</v>
      </c>
    </row>
    <row r="922" spans="2:8">
      <c r="B922" s="54">
        <v>44515</v>
      </c>
      <c r="C922" s="46">
        <v>106.889999</v>
      </c>
      <c r="D922" s="55">
        <f t="shared" si="28"/>
        <v>7.3508433950538387E-3</v>
      </c>
      <c r="F922" s="60">
        <v>44515</v>
      </c>
      <c r="G922" s="47">
        <v>104.591263</v>
      </c>
      <c r="H922" s="55">
        <f t="shared" si="29"/>
        <v>-5.6011531556573199E-4</v>
      </c>
    </row>
    <row r="923" spans="2:8">
      <c r="B923" s="54">
        <v>44516</v>
      </c>
      <c r="C923" s="46">
        <v>107.699997</v>
      </c>
      <c r="D923" s="55">
        <f t="shared" si="28"/>
        <v>7.5778651658514199E-3</v>
      </c>
      <c r="F923" s="60">
        <v>44516</v>
      </c>
      <c r="G923" s="47">
        <v>105.089508</v>
      </c>
      <c r="H923" s="55">
        <f t="shared" si="29"/>
        <v>4.7637344239737991E-3</v>
      </c>
    </row>
    <row r="924" spans="2:8">
      <c r="B924" s="54">
        <v>44517</v>
      </c>
      <c r="C924" s="46">
        <v>107.980003</v>
      </c>
      <c r="D924" s="55">
        <f t="shared" si="28"/>
        <v>2.5998700817048324E-3</v>
      </c>
      <c r="F924" s="60">
        <v>44517</v>
      </c>
      <c r="G924" s="47">
        <v>104.649879</v>
      </c>
      <c r="H924" s="55">
        <f t="shared" si="29"/>
        <v>-4.1833767077870086E-3</v>
      </c>
    </row>
    <row r="925" spans="2:8">
      <c r="B925" s="54">
        <v>44518</v>
      </c>
      <c r="C925" s="46">
        <v>107.69000200000001</v>
      </c>
      <c r="D925" s="55">
        <f t="shared" si="28"/>
        <v>-2.6856917201603481E-3</v>
      </c>
      <c r="F925" s="60">
        <v>44518</v>
      </c>
      <c r="G925" s="47">
        <v>104.83549499999999</v>
      </c>
      <c r="H925" s="55">
        <f t="shared" si="29"/>
        <v>1.7736857583943886E-3</v>
      </c>
    </row>
    <row r="926" spans="2:8">
      <c r="B926" s="54">
        <v>44519</v>
      </c>
      <c r="C926" s="46">
        <v>109.489998</v>
      </c>
      <c r="D926" s="55">
        <f t="shared" si="28"/>
        <v>1.6714606431152197E-2</v>
      </c>
      <c r="F926" s="60">
        <v>44519</v>
      </c>
      <c r="G926" s="47">
        <v>104.503326</v>
      </c>
      <c r="H926" s="55">
        <f t="shared" si="29"/>
        <v>-3.1684783860656479E-3</v>
      </c>
    </row>
    <row r="927" spans="2:8">
      <c r="B927" s="54">
        <v>44522</v>
      </c>
      <c r="C927" s="46">
        <v>109.730003</v>
      </c>
      <c r="D927" s="55">
        <f t="shared" si="28"/>
        <v>2.1920267091428431E-3</v>
      </c>
      <c r="F927" s="60">
        <v>44522</v>
      </c>
      <c r="G927" s="47">
        <v>103.985558</v>
      </c>
      <c r="H927" s="55">
        <f t="shared" si="29"/>
        <v>-4.9545600108460066E-3</v>
      </c>
    </row>
    <row r="928" spans="2:8">
      <c r="B928" s="54">
        <v>44523</v>
      </c>
      <c r="C928" s="46">
        <v>110.339996</v>
      </c>
      <c r="D928" s="55">
        <f t="shared" si="28"/>
        <v>5.5590356631996345E-3</v>
      </c>
      <c r="F928" s="60">
        <v>44523</v>
      </c>
      <c r="G928" s="47">
        <v>104.083252</v>
      </c>
      <c r="H928" s="55">
        <f t="shared" si="29"/>
        <v>9.3949584806771115E-4</v>
      </c>
    </row>
    <row r="929" spans="2:8">
      <c r="B929" s="54">
        <v>44524</v>
      </c>
      <c r="C929" s="46">
        <v>110.989998</v>
      </c>
      <c r="D929" s="55">
        <f t="shared" si="28"/>
        <v>5.8909010654667835E-3</v>
      </c>
      <c r="F929" s="60">
        <v>44524</v>
      </c>
      <c r="G929" s="47">
        <v>104.31772599999999</v>
      </c>
      <c r="H929" s="55">
        <f t="shared" si="29"/>
        <v>2.2527543624404783E-3</v>
      </c>
    </row>
    <row r="930" spans="2:8">
      <c r="B930" s="54">
        <v>44526</v>
      </c>
      <c r="C930" s="46">
        <v>109.519997</v>
      </c>
      <c r="D930" s="55">
        <f t="shared" si="28"/>
        <v>-1.3244445684195763E-2</v>
      </c>
      <c r="F930" s="60">
        <v>44526</v>
      </c>
      <c r="G930" s="47">
        <v>101.96328699999999</v>
      </c>
      <c r="H930" s="55">
        <f t="shared" si="29"/>
        <v>-2.256988423999963E-2</v>
      </c>
    </row>
    <row r="931" spans="2:8">
      <c r="B931" s="54">
        <v>44529</v>
      </c>
      <c r="C931" s="46">
        <v>108.870003</v>
      </c>
      <c r="D931" s="55">
        <f t="shared" si="28"/>
        <v>-5.9349344211542168E-3</v>
      </c>
      <c r="F931" s="60">
        <v>44529</v>
      </c>
      <c r="G931" s="47">
        <v>103.10631600000001</v>
      </c>
      <c r="H931" s="55">
        <f t="shared" si="29"/>
        <v>1.1210201569904399E-2</v>
      </c>
    </row>
    <row r="932" spans="2:8">
      <c r="B932" s="54">
        <v>44530</v>
      </c>
      <c r="C932" s="46">
        <v>101.44000200000001</v>
      </c>
      <c r="D932" s="55">
        <f t="shared" si="28"/>
        <v>-6.8246539866449629E-2</v>
      </c>
      <c r="F932" s="60">
        <v>44530</v>
      </c>
      <c r="G932" s="47">
        <v>101.044968</v>
      </c>
      <c r="H932" s="55">
        <f t="shared" si="29"/>
        <v>-1.9992451286883428E-2</v>
      </c>
    </row>
    <row r="933" spans="2:8">
      <c r="B933" s="54">
        <v>44531</v>
      </c>
      <c r="C933" s="46">
        <v>98.279999000000004</v>
      </c>
      <c r="D933" s="55">
        <f t="shared" si="28"/>
        <v>-3.1151448518307433E-2</v>
      </c>
      <c r="F933" s="60">
        <v>44531</v>
      </c>
      <c r="G933" s="47">
        <v>99.579552000000007</v>
      </c>
      <c r="H933" s="55">
        <f t="shared" si="29"/>
        <v>-1.4502612341863383E-2</v>
      </c>
    </row>
    <row r="934" spans="2:8">
      <c r="B934" s="54">
        <v>44532</v>
      </c>
      <c r="C934" s="46">
        <v>102.610001</v>
      </c>
      <c r="D934" s="55">
        <f t="shared" si="28"/>
        <v>4.405781485610305E-2</v>
      </c>
      <c r="F934" s="60">
        <v>44532</v>
      </c>
      <c r="G934" s="47">
        <v>101.25013</v>
      </c>
      <c r="H934" s="55">
        <f t="shared" si="29"/>
        <v>1.6776315683765999E-2</v>
      </c>
    </row>
    <row r="935" spans="2:8">
      <c r="B935" s="54">
        <v>44533</v>
      </c>
      <c r="C935" s="46">
        <v>98.099997999999999</v>
      </c>
      <c r="D935" s="55">
        <f t="shared" si="28"/>
        <v>-4.3952859916646894E-2</v>
      </c>
      <c r="F935" s="60">
        <v>44533</v>
      </c>
      <c r="G935" s="47">
        <v>100.146187</v>
      </c>
      <c r="H935" s="55">
        <f t="shared" si="29"/>
        <v>-1.0903126741664441E-2</v>
      </c>
    </row>
    <row r="936" spans="2:8">
      <c r="B936" s="54">
        <v>44536</v>
      </c>
      <c r="C936" s="46">
        <v>99.870002999999997</v>
      </c>
      <c r="D936" s="55">
        <f t="shared" si="28"/>
        <v>1.8042864791903437E-2</v>
      </c>
      <c r="F936" s="60">
        <v>44536</v>
      </c>
      <c r="G936" s="47">
        <v>101.367355</v>
      </c>
      <c r="H936" s="55">
        <f t="shared" si="29"/>
        <v>1.2193854170403969E-2</v>
      </c>
    </row>
    <row r="937" spans="2:8">
      <c r="B937" s="54">
        <v>44537</v>
      </c>
      <c r="C937" s="46">
        <v>102.360001</v>
      </c>
      <c r="D937" s="55">
        <f t="shared" si="28"/>
        <v>2.4932391360797296E-2</v>
      </c>
      <c r="F937" s="60">
        <v>44537</v>
      </c>
      <c r="G937" s="47">
        <v>103.526398</v>
      </c>
      <c r="H937" s="55">
        <f t="shared" si="29"/>
        <v>2.1299194400406292E-2</v>
      </c>
    </row>
    <row r="938" spans="2:8">
      <c r="B938" s="54">
        <v>44538</v>
      </c>
      <c r="C938" s="46">
        <v>102.769997</v>
      </c>
      <c r="D938" s="55">
        <f t="shared" si="28"/>
        <v>4.0054317701697434E-3</v>
      </c>
      <c r="F938" s="60">
        <v>44538</v>
      </c>
      <c r="G938" s="47">
        <v>103.926941</v>
      </c>
      <c r="H938" s="55">
        <f t="shared" si="29"/>
        <v>3.8689938772910751E-3</v>
      </c>
    </row>
    <row r="939" spans="2:8">
      <c r="B939" s="54">
        <v>44539</v>
      </c>
      <c r="C939" s="46">
        <v>99.980002999999996</v>
      </c>
      <c r="D939" s="55">
        <f t="shared" si="28"/>
        <v>-2.7147942798908586E-2</v>
      </c>
      <c r="F939" s="60">
        <v>44539</v>
      </c>
      <c r="G939" s="47">
        <v>102.930466</v>
      </c>
      <c r="H939" s="55">
        <f t="shared" si="29"/>
        <v>-9.5882260212008328E-3</v>
      </c>
    </row>
    <row r="940" spans="2:8">
      <c r="B940" s="54">
        <v>44540</v>
      </c>
      <c r="C940" s="46">
        <v>97.790001000000004</v>
      </c>
      <c r="D940" s="55">
        <f t="shared" si="28"/>
        <v>-2.1904400222912502E-2</v>
      </c>
      <c r="F940" s="60">
        <v>44540</v>
      </c>
      <c r="G940" s="47">
        <v>103.643631</v>
      </c>
      <c r="H940" s="55">
        <f t="shared" si="29"/>
        <v>6.9286094556300134E-3</v>
      </c>
    </row>
    <row r="941" spans="2:8">
      <c r="B941" s="54">
        <v>44543</v>
      </c>
      <c r="C941" s="46">
        <v>97.599997999999999</v>
      </c>
      <c r="D941" s="55">
        <f t="shared" si="28"/>
        <v>-1.9429696089276484E-3</v>
      </c>
      <c r="F941" s="60">
        <v>44543</v>
      </c>
      <c r="G941" s="47">
        <v>102.67997</v>
      </c>
      <c r="H941" s="55">
        <f t="shared" si="29"/>
        <v>-9.2978313351449633E-3</v>
      </c>
    </row>
    <row r="942" spans="2:8">
      <c r="B942" s="54">
        <v>44544</v>
      </c>
      <c r="C942" s="46">
        <v>97.690002000000007</v>
      </c>
      <c r="D942" s="55">
        <f t="shared" si="28"/>
        <v>9.2217215004458837E-4</v>
      </c>
      <c r="F942" s="60">
        <v>44544</v>
      </c>
      <c r="G942" s="47">
        <v>102.02314800000001</v>
      </c>
      <c r="H942" s="55">
        <f t="shared" si="29"/>
        <v>-6.3967880006197035E-3</v>
      </c>
    </row>
    <row r="943" spans="2:8">
      <c r="B943" s="54">
        <v>44545</v>
      </c>
      <c r="C943" s="46">
        <v>98.730002999999996</v>
      </c>
      <c r="D943" s="55">
        <f t="shared" si="28"/>
        <v>1.0645930788290797E-2</v>
      </c>
      <c r="F943" s="60">
        <v>44545</v>
      </c>
      <c r="G943" s="47">
        <v>103.55246</v>
      </c>
      <c r="H943" s="55">
        <f t="shared" si="29"/>
        <v>1.4989853087065987E-2</v>
      </c>
    </row>
    <row r="944" spans="2:8">
      <c r="B944" s="54">
        <v>44546</v>
      </c>
      <c r="C944" s="46">
        <v>98.190002000000007</v>
      </c>
      <c r="D944" s="55">
        <f t="shared" si="28"/>
        <v>-5.4694721319920305E-3</v>
      </c>
      <c r="F944" s="60">
        <v>44546</v>
      </c>
      <c r="G944" s="47">
        <v>102.366264</v>
      </c>
      <c r="H944" s="55">
        <f t="shared" si="29"/>
        <v>-1.1455024825098269E-2</v>
      </c>
    </row>
    <row r="945" spans="2:8">
      <c r="B945" s="54">
        <v>44547</v>
      </c>
      <c r="C945" s="46">
        <v>96.860000999999997</v>
      </c>
      <c r="D945" s="55">
        <f t="shared" si="28"/>
        <v>-1.354517744077457E-2</v>
      </c>
      <c r="F945" s="60">
        <v>44547</v>
      </c>
      <c r="G945" s="47">
        <v>101.729034</v>
      </c>
      <c r="H945" s="55">
        <f t="shared" si="29"/>
        <v>-6.2250000644743899E-3</v>
      </c>
    </row>
    <row r="946" spans="2:8">
      <c r="B946" s="54">
        <v>44550</v>
      </c>
      <c r="C946" s="46">
        <v>92.68</v>
      </c>
      <c r="D946" s="55">
        <f t="shared" si="28"/>
        <v>-4.3155079050639179E-2</v>
      </c>
      <c r="F946" s="60">
        <v>44550</v>
      </c>
      <c r="G946" s="47">
        <v>100.513428</v>
      </c>
      <c r="H946" s="55">
        <f t="shared" si="29"/>
        <v>-1.1949449947593073E-2</v>
      </c>
    </row>
    <row r="947" spans="2:8">
      <c r="B947" s="54">
        <v>44551</v>
      </c>
      <c r="C947" s="46">
        <v>95.580001999999993</v>
      </c>
      <c r="D947" s="55">
        <f t="shared" si="28"/>
        <v>3.1290483383685654E-2</v>
      </c>
      <c r="F947" s="60">
        <v>44551</v>
      </c>
      <c r="G947" s="47">
        <v>102.53291299999999</v>
      </c>
      <c r="H947" s="55">
        <f t="shared" si="29"/>
        <v>2.009169361928427E-2</v>
      </c>
    </row>
    <row r="948" spans="2:8">
      <c r="B948" s="54">
        <v>44552</v>
      </c>
      <c r="C948" s="46">
        <v>95.040001000000004</v>
      </c>
      <c r="D948" s="55">
        <f t="shared" si="28"/>
        <v>-5.6497278583441495E-3</v>
      </c>
      <c r="F948" s="60">
        <v>44552</v>
      </c>
      <c r="G948" s="47">
        <v>103.50344800000001</v>
      </c>
      <c r="H948" s="55">
        <f t="shared" si="29"/>
        <v>9.4655947207899233E-3</v>
      </c>
    </row>
    <row r="949" spans="2:8">
      <c r="B949" s="54">
        <v>44553</v>
      </c>
      <c r="C949" s="46">
        <v>95.559997999999993</v>
      </c>
      <c r="D949" s="55">
        <f t="shared" si="28"/>
        <v>5.4713488481548875E-3</v>
      </c>
      <c r="F949" s="60">
        <v>44553</v>
      </c>
      <c r="G949" s="47">
        <v>104.17987100000001</v>
      </c>
      <c r="H949" s="55">
        <f t="shared" si="29"/>
        <v>6.5352702066505041E-3</v>
      </c>
    </row>
    <row r="950" spans="2:8">
      <c r="B950" s="54">
        <v>44557</v>
      </c>
      <c r="C950" s="46">
        <v>96.959998999999996</v>
      </c>
      <c r="D950" s="55">
        <f t="shared" si="28"/>
        <v>1.4650492144212929E-2</v>
      </c>
      <c r="F950" s="60">
        <v>44557</v>
      </c>
      <c r="G950" s="47">
        <v>105.493515</v>
      </c>
      <c r="H950" s="55">
        <f t="shared" si="29"/>
        <v>1.2609384014307298E-2</v>
      </c>
    </row>
    <row r="951" spans="2:8">
      <c r="B951" s="54">
        <v>44558</v>
      </c>
      <c r="C951" s="46">
        <v>97.949996999999996</v>
      </c>
      <c r="D951" s="55">
        <f t="shared" si="28"/>
        <v>1.0210375517846282E-2</v>
      </c>
      <c r="F951" s="60">
        <v>44558</v>
      </c>
      <c r="G951" s="47">
        <v>105.297455</v>
      </c>
      <c r="H951" s="55">
        <f t="shared" si="29"/>
        <v>-1.8585028662662609E-3</v>
      </c>
    </row>
    <row r="952" spans="2:8">
      <c r="B952" s="54">
        <v>44559</v>
      </c>
      <c r="C952" s="46">
        <v>98.970000999999996</v>
      </c>
      <c r="D952" s="55">
        <f t="shared" si="28"/>
        <v>1.0413517419505384E-2</v>
      </c>
      <c r="F952" s="60">
        <v>44559</v>
      </c>
      <c r="G952" s="47">
        <v>105.39548499999999</v>
      </c>
      <c r="H952" s="55">
        <f t="shared" si="29"/>
        <v>9.3098166522632758E-4</v>
      </c>
    </row>
    <row r="953" spans="2:8">
      <c r="B953" s="54">
        <v>44560</v>
      </c>
      <c r="C953" s="46">
        <v>97.959998999999996</v>
      </c>
      <c r="D953" s="55">
        <f t="shared" si="28"/>
        <v>-1.0205132765432629E-2</v>
      </c>
      <c r="F953" s="60">
        <v>44560</v>
      </c>
      <c r="G953" s="47">
        <v>105.179817</v>
      </c>
      <c r="H953" s="55">
        <f t="shared" si="29"/>
        <v>-2.0462736140926131E-3</v>
      </c>
    </row>
    <row r="954" spans="2:8">
      <c r="B954" s="54">
        <v>44561</v>
      </c>
      <c r="C954" s="46">
        <v>99.769997000000004</v>
      </c>
      <c r="D954" s="55">
        <f t="shared" si="28"/>
        <v>1.847690913104243E-2</v>
      </c>
      <c r="F954" s="60">
        <v>44561</v>
      </c>
      <c r="G954" s="47">
        <v>104.875908</v>
      </c>
      <c r="H954" s="55">
        <f t="shared" si="29"/>
        <v>-2.8894231675645949E-3</v>
      </c>
    </row>
    <row r="955" spans="2:8">
      <c r="B955" s="54">
        <v>44564</v>
      </c>
      <c r="C955" s="46">
        <v>97.400002000000001</v>
      </c>
      <c r="D955" s="55">
        <f t="shared" si="28"/>
        <v>-2.3754586261038005E-2</v>
      </c>
      <c r="F955" s="60">
        <v>44564</v>
      </c>
      <c r="G955" s="47">
        <v>105.51312299999999</v>
      </c>
      <c r="H955" s="55">
        <f t="shared" si="29"/>
        <v>6.0758949519654952E-3</v>
      </c>
    </row>
    <row r="956" spans="2:8">
      <c r="B956" s="54">
        <v>44565</v>
      </c>
      <c r="C956" s="46">
        <v>98.830001999999993</v>
      </c>
      <c r="D956" s="55">
        <f t="shared" si="28"/>
        <v>1.4681724544523034E-2</v>
      </c>
      <c r="F956" s="60">
        <v>44565</v>
      </c>
      <c r="G956" s="47">
        <v>105.33665499999999</v>
      </c>
      <c r="H956" s="55">
        <f t="shared" si="29"/>
        <v>-1.67247442765958E-3</v>
      </c>
    </row>
    <row r="957" spans="2:8">
      <c r="B957" s="54">
        <v>44566</v>
      </c>
      <c r="C957" s="46">
        <v>96.800003000000004</v>
      </c>
      <c r="D957" s="55">
        <f t="shared" si="28"/>
        <v>-2.0540311230591593E-2</v>
      </c>
      <c r="F957" s="60">
        <v>44566</v>
      </c>
      <c r="G957" s="47">
        <v>103.091713</v>
      </c>
      <c r="H957" s="55">
        <f t="shared" si="29"/>
        <v>-2.1312068434297584E-2</v>
      </c>
    </row>
    <row r="958" spans="2:8">
      <c r="B958" s="54">
        <v>44567</v>
      </c>
      <c r="C958" s="46">
        <v>96.769997000000004</v>
      </c>
      <c r="D958" s="55">
        <f t="shared" si="28"/>
        <v>-3.0997932923617987E-4</v>
      </c>
      <c r="F958" s="60">
        <v>44567</v>
      </c>
      <c r="G958" s="47">
        <v>103.091713</v>
      </c>
      <c r="H958" s="55">
        <f t="shared" si="29"/>
        <v>0</v>
      </c>
    </row>
    <row r="959" spans="2:8">
      <c r="B959" s="54">
        <v>44568</v>
      </c>
      <c r="C959" s="46">
        <v>95.82</v>
      </c>
      <c r="D959" s="55">
        <f t="shared" si="28"/>
        <v>-9.81706137698868E-3</v>
      </c>
      <c r="F959" s="60">
        <v>44568</v>
      </c>
      <c r="G959" s="47">
        <v>102.59174299999999</v>
      </c>
      <c r="H959" s="55">
        <f t="shared" si="29"/>
        <v>-4.8497593594162575E-3</v>
      </c>
    </row>
    <row r="960" spans="2:8">
      <c r="B960" s="54">
        <v>44571</v>
      </c>
      <c r="C960" s="46">
        <v>99.5</v>
      </c>
      <c r="D960" s="55">
        <f t="shared" si="28"/>
        <v>3.8405343352118627E-2</v>
      </c>
      <c r="F960" s="60">
        <v>44571</v>
      </c>
      <c r="G960" s="47">
        <v>102.434883</v>
      </c>
      <c r="H960" s="55">
        <f t="shared" si="29"/>
        <v>-1.528972950581361E-3</v>
      </c>
    </row>
    <row r="961" spans="2:8">
      <c r="B961" s="54">
        <v>44572</v>
      </c>
      <c r="C961" s="46">
        <v>99.120002999999997</v>
      </c>
      <c r="D961" s="55">
        <f t="shared" si="28"/>
        <v>-3.8190653266331961E-3</v>
      </c>
      <c r="F961" s="60">
        <v>44572</v>
      </c>
      <c r="G961" s="47">
        <v>103.474045</v>
      </c>
      <c r="H961" s="55">
        <f t="shared" si="29"/>
        <v>1.014461060105867E-2</v>
      </c>
    </row>
    <row r="962" spans="2:8">
      <c r="B962" s="54">
        <v>44573</v>
      </c>
      <c r="C962" s="46">
        <v>98.480002999999996</v>
      </c>
      <c r="D962" s="55">
        <f t="shared" si="28"/>
        <v>-6.4568198207177272E-3</v>
      </c>
      <c r="F962" s="60">
        <v>44573</v>
      </c>
      <c r="G962" s="47">
        <v>103.59166</v>
      </c>
      <c r="H962" s="55">
        <f t="shared" si="29"/>
        <v>1.1366618556373309E-3</v>
      </c>
    </row>
    <row r="963" spans="2:8">
      <c r="B963" s="54">
        <v>44574</v>
      </c>
      <c r="C963" s="46">
        <v>97.889999000000003</v>
      </c>
      <c r="D963" s="55">
        <f t="shared" si="28"/>
        <v>-5.9911046103440242E-3</v>
      </c>
      <c r="F963" s="60">
        <v>44574</v>
      </c>
      <c r="G963" s="47">
        <v>102.111374</v>
      </c>
      <c r="H963" s="55">
        <f t="shared" si="29"/>
        <v>-1.428962524589341E-2</v>
      </c>
    </row>
    <row r="964" spans="2:8">
      <c r="B964" s="54">
        <v>44575</v>
      </c>
      <c r="C964" s="46">
        <v>96.529999000000004</v>
      </c>
      <c r="D964" s="55">
        <f t="shared" si="28"/>
        <v>-1.3893145509175042E-2</v>
      </c>
      <c r="F964" s="60">
        <v>44575</v>
      </c>
      <c r="G964" s="47">
        <v>102.150581</v>
      </c>
      <c r="H964" s="55">
        <f t="shared" si="29"/>
        <v>3.8396310287632261E-4</v>
      </c>
    </row>
    <row r="965" spans="2:8">
      <c r="B965" s="54">
        <v>44579</v>
      </c>
      <c r="C965" s="46">
        <v>95.089995999999999</v>
      </c>
      <c r="D965" s="55">
        <f t="shared" si="28"/>
        <v>-1.4917673416737571E-2</v>
      </c>
      <c r="F965" s="60">
        <v>44579</v>
      </c>
      <c r="G965" s="47">
        <v>100.1605</v>
      </c>
      <c r="H965" s="55">
        <f t="shared" si="29"/>
        <v>-1.9481837308394784E-2</v>
      </c>
    </row>
    <row r="966" spans="2:8">
      <c r="B966" s="54">
        <v>44580</v>
      </c>
      <c r="C966" s="46">
        <v>95.169998000000007</v>
      </c>
      <c r="D966" s="55">
        <f t="shared" ref="D966:D1029" si="30">(C966-C965)/C965</f>
        <v>8.4132930240114279E-4</v>
      </c>
      <c r="F966" s="60">
        <v>44580</v>
      </c>
      <c r="G966" s="47">
        <v>99.101746000000006</v>
      </c>
      <c r="H966" s="55">
        <f t="shared" ref="H966:H1029" si="31">(G966-G965)/G965</f>
        <v>-1.0570574228363411E-2</v>
      </c>
    </row>
    <row r="967" spans="2:8">
      <c r="B967" s="54">
        <v>44581</v>
      </c>
      <c r="C967" s="46">
        <v>94.18</v>
      </c>
      <c r="D967" s="55">
        <f t="shared" si="30"/>
        <v>-1.0402416946567549E-2</v>
      </c>
      <c r="F967" s="60">
        <v>44581</v>
      </c>
      <c r="G967" s="47">
        <v>97.964568999999997</v>
      </c>
      <c r="H967" s="55">
        <f t="shared" si="31"/>
        <v>-1.1474843238382583E-2</v>
      </c>
    </row>
    <row r="968" spans="2:8">
      <c r="B968" s="54">
        <v>44582</v>
      </c>
      <c r="C968" s="46">
        <v>93.150002000000001</v>
      </c>
      <c r="D968" s="55">
        <f t="shared" si="30"/>
        <v>-1.0936483329794076E-2</v>
      </c>
      <c r="F968" s="60">
        <v>44582</v>
      </c>
      <c r="G968" s="47">
        <v>95.984290999999999</v>
      </c>
      <c r="H968" s="55">
        <f t="shared" si="31"/>
        <v>-2.0214226635346076E-2</v>
      </c>
    </row>
    <row r="969" spans="2:8">
      <c r="B969" s="54">
        <v>44585</v>
      </c>
      <c r="C969" s="46">
        <v>94.800003000000004</v>
      </c>
      <c r="D969" s="55">
        <f t="shared" si="30"/>
        <v>1.7713375894506188E-2</v>
      </c>
      <c r="F969" s="60">
        <v>44585</v>
      </c>
      <c r="G969" s="47">
        <v>96.592101999999997</v>
      </c>
      <c r="H969" s="55">
        <f t="shared" si="31"/>
        <v>6.3324007883748196E-3</v>
      </c>
    </row>
    <row r="970" spans="2:8">
      <c r="B970" s="54">
        <v>44586</v>
      </c>
      <c r="C970" s="46">
        <v>91.309997999999993</v>
      </c>
      <c r="D970" s="55">
        <f t="shared" si="30"/>
        <v>-3.6814397569164742E-2</v>
      </c>
      <c r="F970" s="60">
        <v>44586</v>
      </c>
      <c r="G970" s="47">
        <v>95.258849999999995</v>
      </c>
      <c r="H970" s="55">
        <f t="shared" si="31"/>
        <v>-1.3802909061860996E-2</v>
      </c>
    </row>
    <row r="971" spans="2:8">
      <c r="B971" s="54">
        <v>44587</v>
      </c>
      <c r="C971" s="46">
        <v>91.059997999999993</v>
      </c>
      <c r="D971" s="55">
        <f t="shared" si="30"/>
        <v>-2.7379258074236297E-3</v>
      </c>
      <c r="F971" s="60">
        <v>44587</v>
      </c>
      <c r="G971" s="47">
        <v>94.856910999999997</v>
      </c>
      <c r="H971" s="55">
        <f t="shared" si="31"/>
        <v>-4.2194399785426629E-3</v>
      </c>
    </row>
    <row r="972" spans="2:8">
      <c r="B972" s="54">
        <v>44588</v>
      </c>
      <c r="C972" s="46">
        <v>88.830001999999993</v>
      </c>
      <c r="D972" s="55">
        <f t="shared" si="30"/>
        <v>-2.4489304293637257E-2</v>
      </c>
      <c r="F972" s="60">
        <v>44588</v>
      </c>
      <c r="G972" s="47">
        <v>94.229515000000006</v>
      </c>
      <c r="H972" s="55">
        <f t="shared" si="31"/>
        <v>-6.6141306245993013E-3</v>
      </c>
    </row>
    <row r="973" spans="2:8">
      <c r="B973" s="54">
        <v>44589</v>
      </c>
      <c r="C973" s="46">
        <v>90.919998000000007</v>
      </c>
      <c r="D973" s="55">
        <f t="shared" si="30"/>
        <v>2.3528041798310594E-2</v>
      </c>
      <c r="F973" s="60">
        <v>44589</v>
      </c>
      <c r="G973" s="47">
        <v>96.533287000000001</v>
      </c>
      <c r="H973" s="55">
        <f t="shared" si="31"/>
        <v>2.4448518067826146E-2</v>
      </c>
    </row>
    <row r="974" spans="2:8">
      <c r="B974" s="54">
        <v>44592</v>
      </c>
      <c r="C974" s="46">
        <v>92.550003000000004</v>
      </c>
      <c r="D974" s="55">
        <f t="shared" si="30"/>
        <v>1.7927904045928342E-2</v>
      </c>
      <c r="F974" s="60">
        <v>44592</v>
      </c>
      <c r="G974" s="47">
        <v>98.660606000000001</v>
      </c>
      <c r="H974" s="55">
        <f t="shared" si="31"/>
        <v>2.2037154914242171E-2</v>
      </c>
    </row>
    <row r="975" spans="2:8">
      <c r="B975" s="54">
        <v>44593</v>
      </c>
      <c r="C975" s="46">
        <v>93.349997999999999</v>
      </c>
      <c r="D975" s="55">
        <f t="shared" si="30"/>
        <v>8.6439219240219307E-3</v>
      </c>
      <c r="F975" s="60">
        <v>44593</v>
      </c>
      <c r="G975" s="47">
        <v>99.395850999999993</v>
      </c>
      <c r="H975" s="55">
        <f t="shared" si="31"/>
        <v>7.4522651928571361E-3</v>
      </c>
    </row>
    <row r="976" spans="2:8">
      <c r="B976" s="54">
        <v>44594</v>
      </c>
      <c r="C976" s="46">
        <v>93.169998000000007</v>
      </c>
      <c r="D976" s="55">
        <f t="shared" si="30"/>
        <v>-1.928227143614857E-3</v>
      </c>
      <c r="F976" s="60">
        <v>44594</v>
      </c>
      <c r="G976" s="47">
        <v>99.984047000000004</v>
      </c>
      <c r="H976" s="55">
        <f t="shared" si="31"/>
        <v>5.9177117966424039E-3</v>
      </c>
    </row>
    <row r="977" spans="2:8">
      <c r="B977" s="54">
        <v>44595</v>
      </c>
      <c r="C977" s="46">
        <v>91.230002999999996</v>
      </c>
      <c r="D977" s="55">
        <f t="shared" si="30"/>
        <v>-2.0822099835185251E-2</v>
      </c>
      <c r="F977" s="60">
        <v>44595</v>
      </c>
      <c r="G977" s="47">
        <v>97.562629999999999</v>
      </c>
      <c r="H977" s="55">
        <f t="shared" si="31"/>
        <v>-2.4218033502884768E-2</v>
      </c>
    </row>
    <row r="978" spans="2:8">
      <c r="B978" s="54">
        <v>44596</v>
      </c>
      <c r="C978" s="46">
        <v>91.190002000000007</v>
      </c>
      <c r="D978" s="55">
        <f t="shared" si="30"/>
        <v>-4.384632103978942E-4</v>
      </c>
      <c r="F978" s="60">
        <v>44596</v>
      </c>
      <c r="G978" s="47">
        <v>98.239058999999997</v>
      </c>
      <c r="H978" s="55">
        <f t="shared" si="31"/>
        <v>6.9332796789098334E-3</v>
      </c>
    </row>
    <row r="979" spans="2:8">
      <c r="B979" s="54">
        <v>44599</v>
      </c>
      <c r="C979" s="46">
        <v>91.75</v>
      </c>
      <c r="D979" s="55">
        <f t="shared" si="30"/>
        <v>6.1410021681981442E-3</v>
      </c>
      <c r="F979" s="60">
        <v>44599</v>
      </c>
      <c r="G979" s="47">
        <v>97.993988000000002</v>
      </c>
      <c r="H979" s="55">
        <f t="shared" si="31"/>
        <v>-2.4946391231210371E-3</v>
      </c>
    </row>
    <row r="980" spans="2:8">
      <c r="B980" s="54">
        <v>44600</v>
      </c>
      <c r="C980" s="46">
        <v>93.349997999999999</v>
      </c>
      <c r="D980" s="55">
        <f t="shared" si="30"/>
        <v>1.7438670299727514E-2</v>
      </c>
      <c r="F980" s="60">
        <v>44600</v>
      </c>
      <c r="G980" s="47">
        <v>98.905700999999993</v>
      </c>
      <c r="H980" s="55">
        <f t="shared" si="31"/>
        <v>9.3037646350303833E-3</v>
      </c>
    </row>
    <row r="981" spans="2:8">
      <c r="B981" s="54">
        <v>44601</v>
      </c>
      <c r="C981" s="46">
        <v>97.260002</v>
      </c>
      <c r="D981" s="55">
        <f t="shared" si="30"/>
        <v>4.1885421358016532E-2</v>
      </c>
      <c r="F981" s="60">
        <v>44601</v>
      </c>
      <c r="G981" s="47">
        <v>100.44480900000001</v>
      </c>
      <c r="H981" s="55">
        <f t="shared" si="31"/>
        <v>1.5561367893242202E-2</v>
      </c>
    </row>
    <row r="982" spans="2:8">
      <c r="B982" s="54">
        <v>44602</v>
      </c>
      <c r="C982" s="46">
        <v>95.400002000000001</v>
      </c>
      <c r="D982" s="55">
        <f t="shared" si="30"/>
        <v>-1.9123997139132275E-2</v>
      </c>
      <c r="F982" s="60">
        <v>44602</v>
      </c>
      <c r="G982" s="47">
        <v>98.778251999999995</v>
      </c>
      <c r="H982" s="55">
        <f t="shared" si="31"/>
        <v>-1.6591768321248056E-2</v>
      </c>
    </row>
    <row r="983" spans="2:8">
      <c r="B983" s="54">
        <v>44603</v>
      </c>
      <c r="C983" s="46">
        <v>94.419998000000007</v>
      </c>
      <c r="D983" s="55">
        <f t="shared" si="30"/>
        <v>-1.02725784009941E-2</v>
      </c>
      <c r="F983" s="60">
        <v>44603</v>
      </c>
      <c r="G983" s="47">
        <v>96.866591999999997</v>
      </c>
      <c r="H983" s="55">
        <f t="shared" si="31"/>
        <v>-1.9353045445671561E-2</v>
      </c>
    </row>
    <row r="984" spans="2:8">
      <c r="B984" s="54">
        <v>44606</v>
      </c>
      <c r="C984" s="46">
        <v>94.900002000000001</v>
      </c>
      <c r="D984" s="55">
        <f t="shared" si="30"/>
        <v>5.0837111858442726E-3</v>
      </c>
      <c r="F984" s="60">
        <v>44606</v>
      </c>
      <c r="G984" s="47">
        <v>96.533287000000001</v>
      </c>
      <c r="H984" s="55">
        <f t="shared" si="31"/>
        <v>-3.4408663824984755E-3</v>
      </c>
    </row>
    <row r="985" spans="2:8">
      <c r="B985" s="54">
        <v>44607</v>
      </c>
      <c r="C985" s="46">
        <v>96.269997000000004</v>
      </c>
      <c r="D985" s="55">
        <f t="shared" si="30"/>
        <v>1.4436195691544905E-2</v>
      </c>
      <c r="F985" s="60">
        <v>44607</v>
      </c>
      <c r="G985" s="47">
        <v>98.258674999999997</v>
      </c>
      <c r="H985" s="55">
        <f t="shared" si="31"/>
        <v>1.7873503053925793E-2</v>
      </c>
    </row>
    <row r="986" spans="2:8">
      <c r="B986" s="54">
        <v>44608</v>
      </c>
      <c r="C986" s="46">
        <v>97.25</v>
      </c>
      <c r="D986" s="55">
        <f t="shared" si="30"/>
        <v>1.0179734398454342E-2</v>
      </c>
      <c r="F986" s="60">
        <v>44608</v>
      </c>
      <c r="G986" s="47">
        <v>98.317481999999998</v>
      </c>
      <c r="H986" s="55">
        <f t="shared" si="31"/>
        <v>5.9849168533975862E-4</v>
      </c>
    </row>
    <row r="987" spans="2:8">
      <c r="B987" s="54">
        <v>44609</v>
      </c>
      <c r="C987" s="46">
        <v>95.489998</v>
      </c>
      <c r="D987" s="55">
        <f t="shared" si="30"/>
        <v>-1.8097706940874037E-2</v>
      </c>
      <c r="F987" s="60">
        <v>44609</v>
      </c>
      <c r="G987" s="47">
        <v>96.111739999999998</v>
      </c>
      <c r="H987" s="55">
        <f t="shared" si="31"/>
        <v>-2.2434891080713407E-2</v>
      </c>
    </row>
    <row r="988" spans="2:8">
      <c r="B988" s="54">
        <v>44610</v>
      </c>
      <c r="C988" s="46">
        <v>95.529999000000004</v>
      </c>
      <c r="D988" s="55">
        <f t="shared" si="30"/>
        <v>4.1890251165366792E-4</v>
      </c>
      <c r="F988" s="60">
        <v>44610</v>
      </c>
      <c r="G988" s="47">
        <v>95.366692</v>
      </c>
      <c r="H988" s="55">
        <f t="shared" si="31"/>
        <v>-7.751893785296126E-3</v>
      </c>
    </row>
    <row r="989" spans="2:8">
      <c r="B989" s="54">
        <v>44614</v>
      </c>
      <c r="C989" s="46">
        <v>93.150002000000001</v>
      </c>
      <c r="D989" s="55">
        <f t="shared" si="30"/>
        <v>-2.4913608551382933E-2</v>
      </c>
      <c r="F989" s="60">
        <v>44614</v>
      </c>
      <c r="G989" s="47">
        <v>94.307937999999993</v>
      </c>
      <c r="H989" s="55">
        <f t="shared" si="31"/>
        <v>-1.1101926446185293E-2</v>
      </c>
    </row>
    <row r="990" spans="2:8">
      <c r="B990" s="54">
        <v>44615</v>
      </c>
      <c r="C990" s="46">
        <v>93.160004000000001</v>
      </c>
      <c r="D990" s="55">
        <f t="shared" si="30"/>
        <v>1.0737519898281984E-4</v>
      </c>
      <c r="F990" s="60">
        <v>44615</v>
      </c>
      <c r="G990" s="47">
        <v>92.533530999999996</v>
      </c>
      <c r="H990" s="55">
        <f t="shared" si="31"/>
        <v>-1.8815033364423646E-2</v>
      </c>
    </row>
    <row r="991" spans="2:8">
      <c r="B991" s="54">
        <v>44616</v>
      </c>
      <c r="C991" s="46">
        <v>91.220000999999996</v>
      </c>
      <c r="D991" s="55">
        <f t="shared" si="30"/>
        <v>-2.0824419457946827E-2</v>
      </c>
      <c r="F991" s="60">
        <v>44616</v>
      </c>
      <c r="G991" s="47">
        <v>94.190291999999999</v>
      </c>
      <c r="H991" s="55">
        <f t="shared" si="31"/>
        <v>1.7904439418830815E-2</v>
      </c>
    </row>
    <row r="992" spans="2:8">
      <c r="B992" s="54">
        <v>44617</v>
      </c>
      <c r="C992" s="46">
        <v>96.959998999999996</v>
      </c>
      <c r="D992" s="55">
        <f t="shared" si="30"/>
        <v>6.2924774578768092E-2</v>
      </c>
      <c r="F992" s="60">
        <v>44617</v>
      </c>
      <c r="G992" s="47">
        <v>96.278403999999995</v>
      </c>
      <c r="H992" s="55">
        <f t="shared" si="31"/>
        <v>2.2169078741150896E-2</v>
      </c>
    </row>
    <row r="993" spans="2:8">
      <c r="B993" s="54">
        <v>44620</v>
      </c>
      <c r="C993" s="46">
        <v>95.43</v>
      </c>
      <c r="D993" s="55">
        <f t="shared" si="30"/>
        <v>-1.5779692819509927E-2</v>
      </c>
      <c r="F993" s="60">
        <v>44620</v>
      </c>
      <c r="G993" s="47">
        <v>96.150963000000004</v>
      </c>
      <c r="H993" s="55">
        <f t="shared" si="31"/>
        <v>-1.3236717135442998E-3</v>
      </c>
    </row>
    <row r="994" spans="2:8">
      <c r="B994" s="54">
        <v>44621</v>
      </c>
      <c r="C994" s="46">
        <v>94.400002000000001</v>
      </c>
      <c r="D994" s="55">
        <f t="shared" si="30"/>
        <v>-1.079323064025994E-2</v>
      </c>
      <c r="F994" s="60">
        <v>44621</v>
      </c>
      <c r="G994" s="47">
        <v>94.641250999999997</v>
      </c>
      <c r="H994" s="55">
        <f t="shared" si="31"/>
        <v>-1.5701475605605815E-2</v>
      </c>
    </row>
    <row r="995" spans="2:8">
      <c r="B995" s="54">
        <v>44622</v>
      </c>
      <c r="C995" s="46">
        <v>99.169998000000007</v>
      </c>
      <c r="D995" s="55">
        <f t="shared" si="30"/>
        <v>5.0529617573525115E-2</v>
      </c>
      <c r="F995" s="60">
        <v>44622</v>
      </c>
      <c r="G995" s="47">
        <v>96.386238000000006</v>
      </c>
      <c r="H995" s="55">
        <f t="shared" si="31"/>
        <v>1.8437911392359015E-2</v>
      </c>
    </row>
    <row r="996" spans="2:8">
      <c r="B996" s="54">
        <v>44623</v>
      </c>
      <c r="C996" s="46">
        <v>100.889999</v>
      </c>
      <c r="D996" s="55">
        <f t="shared" si="30"/>
        <v>1.7343965258525024E-2</v>
      </c>
      <c r="F996" s="60">
        <v>44623</v>
      </c>
      <c r="G996" s="47">
        <v>95.660788999999994</v>
      </c>
      <c r="H996" s="55">
        <f t="shared" si="31"/>
        <v>-7.5264790394663165E-3</v>
      </c>
    </row>
    <row r="997" spans="2:8">
      <c r="B997" s="54">
        <v>44624</v>
      </c>
      <c r="C997" s="46">
        <v>99.589995999999999</v>
      </c>
      <c r="D997" s="55">
        <f t="shared" si="30"/>
        <v>-1.2885350509320589E-2</v>
      </c>
      <c r="F997" s="60">
        <v>44624</v>
      </c>
      <c r="G997" s="47">
        <v>94.709868999999998</v>
      </c>
      <c r="H997" s="55">
        <f t="shared" si="31"/>
        <v>-9.9405410507328821E-3</v>
      </c>
    </row>
    <row r="998" spans="2:8">
      <c r="B998" s="54">
        <v>44627</v>
      </c>
      <c r="C998" s="46">
        <v>97.889999000000003</v>
      </c>
      <c r="D998" s="55">
        <f t="shared" si="30"/>
        <v>-1.7069957508583453E-2</v>
      </c>
      <c r="F998" s="60">
        <v>44627</v>
      </c>
      <c r="G998" s="47">
        <v>91.857094000000004</v>
      </c>
      <c r="H998" s="55">
        <f t="shared" si="31"/>
        <v>-3.0121200991208151E-2</v>
      </c>
    </row>
    <row r="999" spans="2:8">
      <c r="B999" s="54">
        <v>44628</v>
      </c>
      <c r="C999" s="46">
        <v>101</v>
      </c>
      <c r="D999" s="55">
        <f t="shared" si="30"/>
        <v>3.1770365019617545E-2</v>
      </c>
      <c r="F999" s="60">
        <v>44628</v>
      </c>
      <c r="G999" s="47">
        <v>91.347320999999994</v>
      </c>
      <c r="H999" s="55">
        <f t="shared" si="31"/>
        <v>-5.549631256569142E-3</v>
      </c>
    </row>
    <row r="1000" spans="2:8">
      <c r="B1000" s="54">
        <v>44629</v>
      </c>
      <c r="C1000" s="46">
        <v>104.029999</v>
      </c>
      <c r="D1000" s="55">
        <f t="shared" si="30"/>
        <v>2.9999990099009936E-2</v>
      </c>
      <c r="F1000" s="60">
        <v>44629</v>
      </c>
      <c r="G1000" s="47">
        <v>93.847176000000005</v>
      </c>
      <c r="H1000" s="55">
        <f t="shared" si="31"/>
        <v>2.7366484015442675E-2</v>
      </c>
    </row>
    <row r="1001" spans="2:8">
      <c r="B1001" s="54">
        <v>44630</v>
      </c>
      <c r="C1001" s="46">
        <v>105.949997</v>
      </c>
      <c r="D1001" s="55">
        <f t="shared" si="30"/>
        <v>1.8456195505682862E-2</v>
      </c>
      <c r="F1001" s="60">
        <v>44630</v>
      </c>
      <c r="G1001" s="47">
        <v>93.445244000000002</v>
      </c>
      <c r="H1001" s="55">
        <f t="shared" si="31"/>
        <v>-4.2828353194133634E-3</v>
      </c>
    </row>
    <row r="1002" spans="2:8">
      <c r="B1002" s="54">
        <v>44631</v>
      </c>
      <c r="C1002" s="46">
        <v>105.66999800000001</v>
      </c>
      <c r="D1002" s="55">
        <f t="shared" si="30"/>
        <v>-2.6427466534047137E-3</v>
      </c>
      <c r="F1002" s="60">
        <v>44631</v>
      </c>
      <c r="G1002" s="47">
        <v>92.141396</v>
      </c>
      <c r="H1002" s="55">
        <f t="shared" si="31"/>
        <v>-1.3953069671475223E-2</v>
      </c>
    </row>
    <row r="1003" spans="2:8">
      <c r="B1003" s="54">
        <v>44634</v>
      </c>
      <c r="C1003" s="46">
        <v>106.980003</v>
      </c>
      <c r="D1003" s="55">
        <f t="shared" si="30"/>
        <v>1.239713281720692E-2</v>
      </c>
      <c r="F1003" s="60">
        <v>44634</v>
      </c>
      <c r="G1003" s="47">
        <v>91.259094000000005</v>
      </c>
      <c r="H1003" s="55">
        <f t="shared" si="31"/>
        <v>-9.5755223851828296E-3</v>
      </c>
    </row>
    <row r="1004" spans="2:8">
      <c r="B1004" s="54">
        <v>44635</v>
      </c>
      <c r="C1004" s="46">
        <v>105.769997</v>
      </c>
      <c r="D1004" s="55">
        <f t="shared" si="30"/>
        <v>-1.1310581099908857E-2</v>
      </c>
      <c r="F1004" s="60">
        <v>44635</v>
      </c>
      <c r="G1004" s="47">
        <v>93.151138000000003</v>
      </c>
      <c r="H1004" s="55">
        <f t="shared" si="31"/>
        <v>2.0732662544293925E-2</v>
      </c>
    </row>
    <row r="1005" spans="2:8">
      <c r="B1005" s="54">
        <v>44636</v>
      </c>
      <c r="C1005" s="46">
        <v>107.760002</v>
      </c>
      <c r="D1005" s="55">
        <f t="shared" si="30"/>
        <v>1.8814456428508704E-2</v>
      </c>
      <c r="F1005" s="60">
        <v>44636</v>
      </c>
      <c r="G1005" s="47">
        <v>95.494133000000005</v>
      </c>
      <c r="H1005" s="55">
        <f t="shared" si="31"/>
        <v>2.5152618103280733E-2</v>
      </c>
    </row>
    <row r="1006" spans="2:8">
      <c r="B1006" s="54">
        <v>44637</v>
      </c>
      <c r="C1006" s="46">
        <v>110.470001</v>
      </c>
      <c r="D1006" s="55">
        <f t="shared" si="30"/>
        <v>2.5148468352849476E-2</v>
      </c>
      <c r="F1006" s="60">
        <v>44637</v>
      </c>
      <c r="G1006" s="47">
        <v>96.748962000000006</v>
      </c>
      <c r="H1006" s="55">
        <f t="shared" si="31"/>
        <v>1.3140377953900067E-2</v>
      </c>
    </row>
    <row r="1007" spans="2:8">
      <c r="B1007" s="54">
        <v>44638</v>
      </c>
      <c r="C1007" s="46">
        <v>108.800003</v>
      </c>
      <c r="D1007" s="55">
        <f t="shared" si="30"/>
        <v>-1.5117208154999407E-2</v>
      </c>
      <c r="F1007" s="60">
        <v>44638</v>
      </c>
      <c r="G1007" s="47">
        <v>97.954764999999995</v>
      </c>
      <c r="H1007" s="55">
        <f t="shared" si="31"/>
        <v>1.2463213817218925E-2</v>
      </c>
    </row>
    <row r="1008" spans="2:8">
      <c r="B1008" s="54">
        <v>44641</v>
      </c>
      <c r="C1008" s="46">
        <v>108.199997</v>
      </c>
      <c r="D1008" s="55">
        <f t="shared" si="30"/>
        <v>-5.5147608773504133E-3</v>
      </c>
      <c r="F1008" s="60">
        <v>44641</v>
      </c>
      <c r="G1008" s="47">
        <v>97.758697999999995</v>
      </c>
      <c r="H1008" s="55">
        <f t="shared" si="31"/>
        <v>-2.0016075787635174E-3</v>
      </c>
    </row>
    <row r="1009" spans="2:8">
      <c r="B1009" s="54">
        <v>44642</v>
      </c>
      <c r="C1009" s="46">
        <v>107.44000200000001</v>
      </c>
      <c r="D1009" s="55">
        <f t="shared" si="30"/>
        <v>-7.0239835588903881E-3</v>
      </c>
      <c r="F1009" s="60">
        <v>44642</v>
      </c>
      <c r="G1009" s="47">
        <v>98.964500000000001</v>
      </c>
      <c r="H1009" s="55">
        <f t="shared" si="31"/>
        <v>1.2334472785224754E-2</v>
      </c>
    </row>
    <row r="1010" spans="2:8">
      <c r="B1010" s="54">
        <v>44643</v>
      </c>
      <c r="C1010" s="46">
        <v>105.769997</v>
      </c>
      <c r="D1010" s="55">
        <f t="shared" si="30"/>
        <v>-1.5543605444087791E-2</v>
      </c>
      <c r="F1010" s="60">
        <v>44643</v>
      </c>
      <c r="G1010" s="47">
        <v>97.641059999999996</v>
      </c>
      <c r="H1010" s="55">
        <f t="shared" si="31"/>
        <v>-1.3372876132350541E-2</v>
      </c>
    </row>
    <row r="1011" spans="2:8">
      <c r="B1011" s="54">
        <v>44644</v>
      </c>
      <c r="C1011" s="46">
        <v>105.769997</v>
      </c>
      <c r="D1011" s="55">
        <f t="shared" si="30"/>
        <v>0</v>
      </c>
      <c r="F1011" s="60">
        <v>44644</v>
      </c>
      <c r="G1011" s="47">
        <v>99.062286</v>
      </c>
      <c r="H1011" s="55">
        <f t="shared" si="31"/>
        <v>1.4555618302382259E-2</v>
      </c>
    </row>
    <row r="1012" spans="2:8">
      <c r="B1012" s="54">
        <v>44645</v>
      </c>
      <c r="C1012" s="46">
        <v>107.370003</v>
      </c>
      <c r="D1012" s="55">
        <f t="shared" si="30"/>
        <v>1.5127219867463864E-2</v>
      </c>
      <c r="F1012" s="60">
        <v>44645</v>
      </c>
      <c r="G1012" s="47">
        <v>99.475364999999996</v>
      </c>
      <c r="H1012" s="55">
        <f t="shared" si="31"/>
        <v>4.1698916578605527E-3</v>
      </c>
    </row>
    <row r="1013" spans="2:8">
      <c r="B1013" s="54">
        <v>44648</v>
      </c>
      <c r="C1013" s="46">
        <v>107.760002</v>
      </c>
      <c r="D1013" s="55">
        <f t="shared" si="30"/>
        <v>3.6322901099295219E-3</v>
      </c>
      <c r="F1013" s="60">
        <v>44648</v>
      </c>
      <c r="G1013" s="47">
        <v>100.104828</v>
      </c>
      <c r="H1013" s="55">
        <f t="shared" si="31"/>
        <v>6.3278280004300689E-3</v>
      </c>
    </row>
    <row r="1014" spans="2:8">
      <c r="B1014" s="54">
        <v>44649</v>
      </c>
      <c r="C1014" s="46">
        <v>111.389999</v>
      </c>
      <c r="D1014" s="55">
        <f t="shared" si="30"/>
        <v>3.3685940354752433E-2</v>
      </c>
      <c r="F1014" s="60">
        <v>44649</v>
      </c>
      <c r="G1014" s="47">
        <v>101.60965</v>
      </c>
      <c r="H1014" s="55">
        <f t="shared" si="31"/>
        <v>1.5032461770974765E-2</v>
      </c>
    </row>
    <row r="1015" spans="2:8">
      <c r="B1015" s="54">
        <v>44650</v>
      </c>
      <c r="C1015" s="46">
        <v>112.599998</v>
      </c>
      <c r="D1015" s="55">
        <f t="shared" si="30"/>
        <v>1.0862725656367016E-2</v>
      </c>
      <c r="F1015" s="60">
        <v>44650</v>
      </c>
      <c r="G1015" s="47">
        <v>100.783478</v>
      </c>
      <c r="H1015" s="55">
        <f t="shared" si="31"/>
        <v>-8.1308419033034717E-3</v>
      </c>
    </row>
    <row r="1016" spans="2:8">
      <c r="B1016" s="54">
        <v>44651</v>
      </c>
      <c r="C1016" s="46">
        <v>111.639999</v>
      </c>
      <c r="D1016" s="55">
        <f t="shared" si="30"/>
        <v>-8.5257461549865764E-3</v>
      </c>
      <c r="F1016" s="60">
        <v>44651</v>
      </c>
      <c r="G1016" s="47">
        <v>99.278655999999998</v>
      </c>
      <c r="H1016" s="55">
        <f t="shared" si="31"/>
        <v>-1.4931237042643083E-2</v>
      </c>
    </row>
    <row r="1017" spans="2:8">
      <c r="B1017" s="54">
        <v>44652</v>
      </c>
      <c r="C1017" s="46">
        <v>112.93</v>
      </c>
      <c r="D1017" s="55">
        <f t="shared" si="30"/>
        <v>1.1555007269392788E-2</v>
      </c>
      <c r="F1017" s="60">
        <v>44652</v>
      </c>
      <c r="G1017" s="47">
        <v>99.701583999999997</v>
      </c>
      <c r="H1017" s="55">
        <f t="shared" si="31"/>
        <v>4.2600093216410874E-3</v>
      </c>
    </row>
    <row r="1018" spans="2:8">
      <c r="B1018" s="54">
        <v>44655</v>
      </c>
      <c r="C1018" s="46">
        <v>110.41999800000001</v>
      </c>
      <c r="D1018" s="55">
        <f t="shared" si="30"/>
        <v>-2.2226175506951208E-2</v>
      </c>
      <c r="F1018" s="60">
        <v>44655</v>
      </c>
      <c r="G1018" s="47">
        <v>100.50808000000001</v>
      </c>
      <c r="H1018" s="55">
        <f t="shared" si="31"/>
        <v>8.0890991661678111E-3</v>
      </c>
    </row>
    <row r="1019" spans="2:8">
      <c r="B1019" s="54">
        <v>44656</v>
      </c>
      <c r="C1019" s="46">
        <v>110.93</v>
      </c>
      <c r="D1019" s="55">
        <f t="shared" si="30"/>
        <v>4.6187466875339013E-3</v>
      </c>
      <c r="F1019" s="60">
        <v>44656</v>
      </c>
      <c r="G1019" s="47">
        <v>99.072113000000002</v>
      </c>
      <c r="H1019" s="55">
        <f t="shared" si="31"/>
        <v>-1.4287080202905129E-2</v>
      </c>
    </row>
    <row r="1020" spans="2:8">
      <c r="B1020" s="54">
        <v>44657</v>
      </c>
      <c r="C1020" s="46">
        <v>109.91999800000001</v>
      </c>
      <c r="D1020" s="55">
        <f t="shared" si="30"/>
        <v>-9.1048589200396646E-3</v>
      </c>
      <c r="F1020" s="60">
        <v>44657</v>
      </c>
      <c r="G1020" s="47">
        <v>97.921363999999997</v>
      </c>
      <c r="H1020" s="55">
        <f t="shared" si="31"/>
        <v>-1.1615266548317231E-2</v>
      </c>
    </row>
    <row r="1021" spans="2:8">
      <c r="B1021" s="54">
        <v>44658</v>
      </c>
      <c r="C1021" s="46">
        <v>109.05999799999999</v>
      </c>
      <c r="D1021" s="55">
        <f t="shared" si="30"/>
        <v>-7.8238720491972131E-3</v>
      </c>
      <c r="F1021" s="60">
        <v>44658</v>
      </c>
      <c r="G1021" s="47">
        <v>98.265609999999995</v>
      </c>
      <c r="H1021" s="55">
        <f t="shared" si="31"/>
        <v>3.5155351798408191E-3</v>
      </c>
    </row>
    <row r="1022" spans="2:8">
      <c r="B1022" s="54">
        <v>44659</v>
      </c>
      <c r="C1022" s="46">
        <v>109.050003</v>
      </c>
      <c r="D1022" s="55">
        <f t="shared" si="30"/>
        <v>-9.1646801607215498E-5</v>
      </c>
      <c r="F1022" s="60">
        <v>44659</v>
      </c>
      <c r="G1022" s="47">
        <v>97.960708999999994</v>
      </c>
      <c r="H1022" s="55">
        <f t="shared" si="31"/>
        <v>-3.1028250880445456E-3</v>
      </c>
    </row>
    <row r="1023" spans="2:8">
      <c r="B1023" s="54">
        <v>44662</v>
      </c>
      <c r="C1023" s="46">
        <v>108.110001</v>
      </c>
      <c r="D1023" s="55">
        <f t="shared" si="30"/>
        <v>-8.6199172319143067E-3</v>
      </c>
      <c r="F1023" s="60">
        <v>44662</v>
      </c>
      <c r="G1023" s="47">
        <v>96.465728999999996</v>
      </c>
      <c r="H1023" s="55">
        <f t="shared" si="31"/>
        <v>-1.526101653674228E-2</v>
      </c>
    </row>
    <row r="1024" spans="2:8">
      <c r="B1024" s="54">
        <v>44663</v>
      </c>
      <c r="C1024" s="46">
        <v>107.55999799999999</v>
      </c>
      <c r="D1024" s="55">
        <f t="shared" si="30"/>
        <v>-5.0874386727644541E-3</v>
      </c>
      <c r="F1024" s="60">
        <v>44663</v>
      </c>
      <c r="G1024" s="47">
        <v>96.180496000000005</v>
      </c>
      <c r="H1024" s="55">
        <f t="shared" si="31"/>
        <v>-2.9568324725975062E-3</v>
      </c>
    </row>
    <row r="1025" spans="2:8">
      <c r="B1025" s="54">
        <v>44664</v>
      </c>
      <c r="C1025" s="46">
        <v>108.33000199999999</v>
      </c>
      <c r="D1025" s="55">
        <f t="shared" si="30"/>
        <v>7.158832412771151E-3</v>
      </c>
      <c r="F1025" s="60">
        <v>44664</v>
      </c>
      <c r="G1025" s="47">
        <v>97.409926999999996</v>
      </c>
      <c r="H1025" s="55">
        <f t="shared" si="31"/>
        <v>1.2782539611773171E-2</v>
      </c>
    </row>
    <row r="1026" spans="2:8">
      <c r="B1026" s="54">
        <v>44665</v>
      </c>
      <c r="C1026" s="46">
        <v>107.860001</v>
      </c>
      <c r="D1026" s="55">
        <f t="shared" si="30"/>
        <v>-4.3386041846468016E-3</v>
      </c>
      <c r="F1026" s="60">
        <v>44665</v>
      </c>
      <c r="G1026" s="47">
        <v>96.219848999999996</v>
      </c>
      <c r="H1026" s="55">
        <f t="shared" si="31"/>
        <v>-1.2217214781405182E-2</v>
      </c>
    </row>
    <row r="1027" spans="2:8">
      <c r="B1027" s="54">
        <v>44669</v>
      </c>
      <c r="C1027" s="46">
        <v>107.589996</v>
      </c>
      <c r="D1027" s="55">
        <f t="shared" si="30"/>
        <v>-2.5032912803328975E-3</v>
      </c>
      <c r="F1027" s="60">
        <v>44669</v>
      </c>
      <c r="G1027" s="47">
        <v>96.072310999999999</v>
      </c>
      <c r="H1027" s="55">
        <f t="shared" si="31"/>
        <v>-1.5333426682055725E-3</v>
      </c>
    </row>
    <row r="1028" spans="2:8">
      <c r="B1028" s="54">
        <v>44670</v>
      </c>
      <c r="C1028" s="46">
        <v>109.449997</v>
      </c>
      <c r="D1028" s="55">
        <f t="shared" si="30"/>
        <v>1.7287861968133141E-2</v>
      </c>
      <c r="F1028" s="60">
        <v>44670</v>
      </c>
      <c r="G1028" s="47">
        <v>97.763999999999996</v>
      </c>
      <c r="H1028" s="55">
        <f t="shared" si="31"/>
        <v>1.7608496999723434E-2</v>
      </c>
    </row>
    <row r="1029" spans="2:8">
      <c r="B1029" s="54">
        <v>44671</v>
      </c>
      <c r="C1029" s="46">
        <v>110.05999799999999</v>
      </c>
      <c r="D1029" s="55">
        <f t="shared" si="30"/>
        <v>5.5733304405663616E-3</v>
      </c>
      <c r="F1029" s="60">
        <v>44671</v>
      </c>
      <c r="G1029" s="47">
        <v>97.665649000000002</v>
      </c>
      <c r="H1029" s="55">
        <f t="shared" si="31"/>
        <v>-1.0060042551449805E-3</v>
      </c>
    </row>
    <row r="1030" spans="2:8">
      <c r="B1030" s="54">
        <v>44672</v>
      </c>
      <c r="C1030" s="46">
        <v>108.769997</v>
      </c>
      <c r="D1030" s="55">
        <f t="shared" ref="D1030:D1093" si="32">(C1030-C1029)/C1029</f>
        <v>-1.1720888819205589E-2</v>
      </c>
      <c r="F1030" s="60">
        <v>44672</v>
      </c>
      <c r="G1030" s="47">
        <v>96.023132000000004</v>
      </c>
      <c r="H1030" s="55">
        <f t="shared" ref="H1030:H1093" si="33">(G1030-G1029)/G1029</f>
        <v>-1.6817755442345938E-2</v>
      </c>
    </row>
    <row r="1031" spans="2:8">
      <c r="B1031" s="54">
        <v>44673</v>
      </c>
      <c r="C1031" s="46">
        <v>106.05999799999999</v>
      </c>
      <c r="D1031" s="55">
        <f t="shared" si="32"/>
        <v>-2.4914949662083841E-2</v>
      </c>
      <c r="F1031" s="60">
        <v>44673</v>
      </c>
      <c r="G1031" s="47">
        <v>93.436417000000006</v>
      </c>
      <c r="H1031" s="55">
        <f t="shared" si="33"/>
        <v>-2.6938456870996438E-2</v>
      </c>
    </row>
    <row r="1032" spans="2:8">
      <c r="B1032" s="54">
        <v>44676</v>
      </c>
      <c r="C1032" s="46">
        <v>104.389999</v>
      </c>
      <c r="D1032" s="55">
        <f t="shared" si="32"/>
        <v>-1.5745795130035645E-2</v>
      </c>
      <c r="F1032" s="60">
        <v>44676</v>
      </c>
      <c r="G1032" s="47">
        <v>94.016707999999994</v>
      </c>
      <c r="H1032" s="55">
        <f t="shared" si="33"/>
        <v>6.2105442249566177E-3</v>
      </c>
    </row>
    <row r="1033" spans="2:8">
      <c r="B1033" s="54">
        <v>44677</v>
      </c>
      <c r="C1033" s="46">
        <v>103.209999</v>
      </c>
      <c r="D1033" s="55">
        <f t="shared" si="32"/>
        <v>-1.1303764836706309E-2</v>
      </c>
      <c r="F1033" s="60">
        <v>44677</v>
      </c>
      <c r="G1033" s="47">
        <v>91.282471000000001</v>
      </c>
      <c r="H1033" s="55">
        <f t="shared" si="33"/>
        <v>-2.9082458407286429E-2</v>
      </c>
    </row>
    <row r="1034" spans="2:8">
      <c r="B1034" s="54">
        <v>44678</v>
      </c>
      <c r="C1034" s="46">
        <v>104.75</v>
      </c>
      <c r="D1034" s="55">
        <f t="shared" si="32"/>
        <v>1.4921044617004635E-2</v>
      </c>
      <c r="F1034" s="60">
        <v>44678</v>
      </c>
      <c r="G1034" s="47">
        <v>91.439835000000002</v>
      </c>
      <c r="H1034" s="55">
        <f t="shared" si="33"/>
        <v>1.723923534015651E-3</v>
      </c>
    </row>
    <row r="1035" spans="2:8">
      <c r="B1035" s="54">
        <v>44679</v>
      </c>
      <c r="C1035" s="46">
        <v>106.220001</v>
      </c>
      <c r="D1035" s="55">
        <f t="shared" si="32"/>
        <v>1.4033422434367507E-2</v>
      </c>
      <c r="F1035" s="60">
        <v>44679</v>
      </c>
      <c r="G1035" s="47">
        <v>93.633133000000001</v>
      </c>
      <c r="H1035" s="55">
        <f t="shared" si="33"/>
        <v>2.3986241882435578E-2</v>
      </c>
    </row>
    <row r="1036" spans="2:8">
      <c r="B1036" s="54">
        <v>44680</v>
      </c>
      <c r="C1036" s="46">
        <v>104.93</v>
      </c>
      <c r="D1036" s="55">
        <f t="shared" si="32"/>
        <v>-1.2144614835768921E-2</v>
      </c>
      <c r="F1036" s="60">
        <v>44680</v>
      </c>
      <c r="G1036" s="47">
        <v>90.318603999999993</v>
      </c>
      <c r="H1036" s="55">
        <f t="shared" si="33"/>
        <v>-3.5399103862091288E-2</v>
      </c>
    </row>
    <row r="1037" spans="2:8">
      <c r="B1037" s="54">
        <v>44683</v>
      </c>
      <c r="C1037" s="46">
        <v>101.019997</v>
      </c>
      <c r="D1037" s="55">
        <f t="shared" si="32"/>
        <v>-3.726296578671498E-2</v>
      </c>
      <c r="F1037" s="60">
        <v>44683</v>
      </c>
      <c r="G1037" s="47">
        <v>90.928391000000005</v>
      </c>
      <c r="H1037" s="55">
        <f t="shared" si="33"/>
        <v>6.7515104640015408E-3</v>
      </c>
    </row>
    <row r="1038" spans="2:8">
      <c r="B1038" s="54">
        <v>44684</v>
      </c>
      <c r="C1038" s="46">
        <v>102.949997</v>
      </c>
      <c r="D1038" s="55">
        <f t="shared" si="32"/>
        <v>1.9105128264852281E-2</v>
      </c>
      <c r="F1038" s="60">
        <v>44684</v>
      </c>
      <c r="G1038" s="47">
        <v>91.311965999999998</v>
      </c>
      <c r="H1038" s="55">
        <f t="shared" si="33"/>
        <v>4.2184294232149484E-3</v>
      </c>
    </row>
    <row r="1039" spans="2:8">
      <c r="B1039" s="54">
        <v>44685</v>
      </c>
      <c r="C1039" s="46">
        <v>98.449996999999996</v>
      </c>
      <c r="D1039" s="55">
        <f t="shared" si="32"/>
        <v>-4.3710540370389718E-2</v>
      </c>
      <c r="F1039" s="60">
        <v>44685</v>
      </c>
      <c r="G1039" s="47">
        <v>94.046218999999994</v>
      </c>
      <c r="H1039" s="55">
        <f t="shared" si="33"/>
        <v>2.9944082027540567E-2</v>
      </c>
    </row>
    <row r="1040" spans="2:8">
      <c r="B1040" s="54">
        <v>44686</v>
      </c>
      <c r="C1040" s="46">
        <v>96.080001999999993</v>
      </c>
      <c r="D1040" s="55">
        <f t="shared" si="32"/>
        <v>-2.4073083516701409E-2</v>
      </c>
      <c r="F1040" s="60">
        <v>44686</v>
      </c>
      <c r="G1040" s="47">
        <v>90.564491000000004</v>
      </c>
      <c r="H1040" s="55">
        <f t="shared" si="33"/>
        <v>-3.7021456439412945E-2</v>
      </c>
    </row>
    <row r="1041" spans="2:8">
      <c r="B1041" s="54">
        <v>44687</v>
      </c>
      <c r="C1041" s="46">
        <v>96.43</v>
      </c>
      <c r="D1041" s="55">
        <f t="shared" si="32"/>
        <v>3.6427767767949629E-3</v>
      </c>
      <c r="F1041" s="60">
        <v>44687</v>
      </c>
      <c r="G1041" s="47">
        <v>89.836646999999999</v>
      </c>
      <c r="H1041" s="55">
        <f t="shared" si="33"/>
        <v>-8.0367480892704901E-3</v>
      </c>
    </row>
    <row r="1042" spans="2:8">
      <c r="B1042" s="54">
        <v>44690</v>
      </c>
      <c r="C1042" s="46">
        <v>89.989998</v>
      </c>
      <c r="D1042" s="55">
        <f t="shared" si="32"/>
        <v>-6.6784216530125548E-2</v>
      </c>
      <c r="F1042" s="60">
        <v>44690</v>
      </c>
      <c r="G1042" s="47">
        <v>86.689316000000005</v>
      </c>
      <c r="H1042" s="55">
        <f t="shared" si="33"/>
        <v>-3.5033932199183639E-2</v>
      </c>
    </row>
    <row r="1043" spans="2:8">
      <c r="B1043" s="54">
        <v>44691</v>
      </c>
      <c r="C1043" s="46">
        <v>91.089995999999999</v>
      </c>
      <c r="D1043" s="55">
        <f t="shared" si="32"/>
        <v>1.2223558444795158E-2</v>
      </c>
      <c r="F1043" s="60">
        <v>44691</v>
      </c>
      <c r="G1043" s="47">
        <v>86.856528999999995</v>
      </c>
      <c r="H1043" s="55">
        <f t="shared" si="33"/>
        <v>1.928876679566714E-3</v>
      </c>
    </row>
    <row r="1044" spans="2:8">
      <c r="B1044" s="54">
        <v>44692</v>
      </c>
      <c r="C1044" s="46">
        <v>88.059997999999993</v>
      </c>
      <c r="D1044" s="55">
        <f t="shared" si="32"/>
        <v>-3.3263784532387139E-2</v>
      </c>
      <c r="F1044" s="60">
        <v>44692</v>
      </c>
      <c r="G1044" s="47">
        <v>85.282852000000005</v>
      </c>
      <c r="H1044" s="55">
        <f t="shared" si="33"/>
        <v>-1.8118119824935549E-2</v>
      </c>
    </row>
    <row r="1045" spans="2:8">
      <c r="B1045" s="54">
        <v>44693</v>
      </c>
      <c r="C1045" s="46">
        <v>88.25</v>
      </c>
      <c r="D1045" s="55">
        <f t="shared" si="32"/>
        <v>2.1576425654700436E-3</v>
      </c>
      <c r="F1045" s="60">
        <v>44693</v>
      </c>
      <c r="G1045" s="47">
        <v>85.381209999999996</v>
      </c>
      <c r="H1045" s="55">
        <f t="shared" si="33"/>
        <v>1.153315088477463E-3</v>
      </c>
    </row>
    <row r="1046" spans="2:8">
      <c r="B1046" s="54">
        <v>44694</v>
      </c>
      <c r="C1046" s="46">
        <v>90.849997999999999</v>
      </c>
      <c r="D1046" s="55">
        <f t="shared" si="32"/>
        <v>2.9461733711048151E-2</v>
      </c>
      <c r="F1046" s="60">
        <v>44694</v>
      </c>
      <c r="G1046" s="47">
        <v>87.643364000000005</v>
      </c>
      <c r="H1046" s="55">
        <f t="shared" si="33"/>
        <v>2.6494752182593919E-2</v>
      </c>
    </row>
    <row r="1047" spans="2:8">
      <c r="B1047" s="54">
        <v>44697</v>
      </c>
      <c r="C1047" s="46">
        <v>90.769997000000004</v>
      </c>
      <c r="D1047" s="55">
        <f t="shared" si="32"/>
        <v>-8.8058339858186651E-4</v>
      </c>
      <c r="F1047" s="60">
        <v>44697</v>
      </c>
      <c r="G1047" s="47">
        <v>87.210601999999994</v>
      </c>
      <c r="H1047" s="55">
        <f t="shared" si="33"/>
        <v>-4.9377611749363125E-3</v>
      </c>
    </row>
    <row r="1048" spans="2:8">
      <c r="B1048" s="54">
        <v>44698</v>
      </c>
      <c r="C1048" s="46">
        <v>91.389999000000003</v>
      </c>
      <c r="D1048" s="55">
        <f t="shared" si="32"/>
        <v>6.8304728488643605E-3</v>
      </c>
      <c r="F1048" s="60">
        <v>44698</v>
      </c>
      <c r="G1048" s="47">
        <v>89.118674999999996</v>
      </c>
      <c r="H1048" s="55">
        <f t="shared" si="33"/>
        <v>2.187891100671455E-2</v>
      </c>
    </row>
    <row r="1049" spans="2:8">
      <c r="B1049" s="54">
        <v>44699</v>
      </c>
      <c r="C1049" s="46">
        <v>88.75</v>
      </c>
      <c r="D1049" s="55">
        <f t="shared" si="32"/>
        <v>-2.8887176155894291E-2</v>
      </c>
      <c r="F1049" s="60">
        <v>44699</v>
      </c>
      <c r="G1049" s="47">
        <v>85.558250000000001</v>
      </c>
      <c r="H1049" s="55">
        <f t="shared" si="33"/>
        <v>-3.9951502869628563E-2</v>
      </c>
    </row>
    <row r="1050" spans="2:8">
      <c r="B1050" s="54">
        <v>44700</v>
      </c>
      <c r="C1050" s="46">
        <v>90.43</v>
      </c>
      <c r="D1050" s="55">
        <f t="shared" si="32"/>
        <v>1.8929577464788808E-2</v>
      </c>
      <c r="F1050" s="60">
        <v>44700</v>
      </c>
      <c r="G1050" s="47">
        <v>85.233688000000001</v>
      </c>
      <c r="H1050" s="55">
        <f t="shared" si="33"/>
        <v>-3.7934623487507076E-3</v>
      </c>
    </row>
    <row r="1051" spans="2:8">
      <c r="B1051" s="54">
        <v>44701</v>
      </c>
      <c r="C1051" s="46">
        <v>90.360000999999997</v>
      </c>
      <c r="D1051" s="55">
        <f t="shared" si="32"/>
        <v>-7.7406834015271376E-4</v>
      </c>
      <c r="F1051" s="60">
        <v>44701</v>
      </c>
      <c r="G1051" s="47">
        <v>85.243515000000002</v>
      </c>
      <c r="H1051" s="55">
        <f t="shared" si="33"/>
        <v>1.1529478813589953E-4</v>
      </c>
    </row>
    <row r="1052" spans="2:8">
      <c r="B1052" s="54">
        <v>44704</v>
      </c>
      <c r="C1052" s="46">
        <v>91.099997999999999</v>
      </c>
      <c r="D1052" s="55">
        <f t="shared" si="32"/>
        <v>8.1894310736008342E-3</v>
      </c>
      <c r="F1052" s="60">
        <v>44704</v>
      </c>
      <c r="G1052" s="47">
        <v>86.679489000000004</v>
      </c>
      <c r="H1052" s="55">
        <f t="shared" si="33"/>
        <v>1.6845551242226479E-2</v>
      </c>
    </row>
    <row r="1053" spans="2:8">
      <c r="B1053" s="54">
        <v>44705</v>
      </c>
      <c r="C1053" s="46">
        <v>89.239998</v>
      </c>
      <c r="D1053" s="55">
        <f t="shared" si="32"/>
        <v>-2.0417124487752451E-2</v>
      </c>
      <c r="F1053" s="60">
        <v>44705</v>
      </c>
      <c r="G1053" s="47">
        <v>85.902489000000003</v>
      </c>
      <c r="H1053" s="55">
        <f t="shared" si="33"/>
        <v>-8.9640583829468691E-3</v>
      </c>
    </row>
    <row r="1054" spans="2:8">
      <c r="B1054" s="54">
        <v>44706</v>
      </c>
      <c r="C1054" s="46">
        <v>88.720000999999996</v>
      </c>
      <c r="D1054" s="55">
        <f t="shared" si="32"/>
        <v>-5.8269499288873088E-3</v>
      </c>
      <c r="F1054" s="60">
        <v>44706</v>
      </c>
      <c r="G1054" s="47">
        <v>86.758178999999998</v>
      </c>
      <c r="H1054" s="55">
        <f t="shared" si="33"/>
        <v>9.9611781912395531E-3</v>
      </c>
    </row>
    <row r="1055" spans="2:8">
      <c r="B1055" s="54">
        <v>44707</v>
      </c>
      <c r="C1055" s="46">
        <v>90.769997000000004</v>
      </c>
      <c r="D1055" s="55">
        <f t="shared" si="32"/>
        <v>2.3106356818007785E-2</v>
      </c>
      <c r="F1055" s="60">
        <v>44707</v>
      </c>
      <c r="G1055" s="47">
        <v>88.567886000000001</v>
      </c>
      <c r="H1055" s="55">
        <f t="shared" si="33"/>
        <v>2.0859209135775002E-2</v>
      </c>
    </row>
    <row r="1056" spans="2:8">
      <c r="B1056" s="54">
        <v>44708</v>
      </c>
      <c r="C1056" s="46">
        <v>93.440002000000007</v>
      </c>
      <c r="D1056" s="55">
        <f t="shared" si="32"/>
        <v>2.9415061014048543E-2</v>
      </c>
      <c r="F1056" s="60">
        <v>44708</v>
      </c>
      <c r="G1056" s="47">
        <v>90.810371000000004</v>
      </c>
      <c r="H1056" s="55">
        <f t="shared" si="33"/>
        <v>2.531939172625168E-2</v>
      </c>
    </row>
    <row r="1057" spans="2:8">
      <c r="B1057" s="54">
        <v>44712</v>
      </c>
      <c r="C1057" s="46">
        <v>93.400002000000001</v>
      </c>
      <c r="D1057" s="55">
        <f t="shared" si="32"/>
        <v>-4.2808218261817084E-4</v>
      </c>
      <c r="F1057" s="60">
        <v>44712</v>
      </c>
      <c r="G1057" s="47">
        <v>90.131720999999999</v>
      </c>
      <c r="H1057" s="55">
        <f t="shared" si="33"/>
        <v>-7.4732653608474368E-3</v>
      </c>
    </row>
    <row r="1058" spans="2:8">
      <c r="B1058" s="54">
        <v>44713</v>
      </c>
      <c r="C1058" s="46">
        <v>94.959998999999996</v>
      </c>
      <c r="D1058" s="55">
        <f t="shared" si="32"/>
        <v>1.6702322982819588E-2</v>
      </c>
      <c r="F1058" s="60">
        <v>44713</v>
      </c>
      <c r="G1058" s="47">
        <v>89.472755000000006</v>
      </c>
      <c r="H1058" s="55">
        <f t="shared" si="33"/>
        <v>-7.3111440976478459E-3</v>
      </c>
    </row>
    <row r="1059" spans="2:8">
      <c r="B1059" s="54">
        <v>44714</v>
      </c>
      <c r="C1059" s="46">
        <v>95.860000999999997</v>
      </c>
      <c r="D1059" s="55">
        <f t="shared" si="32"/>
        <v>9.4776959717533353E-3</v>
      </c>
      <c r="F1059" s="60">
        <v>44714</v>
      </c>
      <c r="G1059" s="47">
        <v>91.302138999999997</v>
      </c>
      <c r="H1059" s="55">
        <f t="shared" si="33"/>
        <v>2.0446268811103337E-2</v>
      </c>
    </row>
    <row r="1060" spans="2:8">
      <c r="B1060" s="54">
        <v>44715</v>
      </c>
      <c r="C1060" s="46">
        <v>96.480002999999996</v>
      </c>
      <c r="D1060" s="55">
        <f t="shared" si="32"/>
        <v>6.467786287630015E-3</v>
      </c>
      <c r="F1060" s="60">
        <v>44715</v>
      </c>
      <c r="G1060" s="47">
        <v>89.816986</v>
      </c>
      <c r="H1060" s="55">
        <f t="shared" si="33"/>
        <v>-1.6266354942680993E-2</v>
      </c>
    </row>
    <row r="1061" spans="2:8">
      <c r="B1061" s="54">
        <v>44718</v>
      </c>
      <c r="C1061" s="46">
        <v>96.300003000000004</v>
      </c>
      <c r="D1061" s="55">
        <f t="shared" si="32"/>
        <v>-1.8656715837787922E-3</v>
      </c>
      <c r="F1061" s="60">
        <v>44718</v>
      </c>
      <c r="G1061" s="47">
        <v>90.102219000000005</v>
      </c>
      <c r="H1061" s="55">
        <f t="shared" si="33"/>
        <v>3.1757133333332427E-3</v>
      </c>
    </row>
    <row r="1062" spans="2:8">
      <c r="B1062" s="54">
        <v>44719</v>
      </c>
      <c r="C1062" s="46">
        <v>99.93</v>
      </c>
      <c r="D1062" s="55">
        <f t="shared" si="32"/>
        <v>3.7694671722907455E-2</v>
      </c>
      <c r="F1062" s="60">
        <v>44719</v>
      </c>
      <c r="G1062" s="47">
        <v>91.036591000000001</v>
      </c>
      <c r="H1062" s="55">
        <f t="shared" si="33"/>
        <v>1.0370133059653017E-2</v>
      </c>
    </row>
    <row r="1063" spans="2:8">
      <c r="B1063" s="54">
        <v>44720</v>
      </c>
      <c r="C1063" s="46">
        <v>96.769997000000004</v>
      </c>
      <c r="D1063" s="55">
        <f t="shared" si="32"/>
        <v>-3.1622165515861132E-2</v>
      </c>
      <c r="F1063" s="60">
        <v>44720</v>
      </c>
      <c r="G1063" s="47">
        <v>90.043212999999994</v>
      </c>
      <c r="H1063" s="55">
        <f t="shared" si="33"/>
        <v>-1.0911854113693767E-2</v>
      </c>
    </row>
    <row r="1064" spans="2:8">
      <c r="B1064" s="54">
        <v>44721</v>
      </c>
      <c r="C1064" s="46">
        <v>94.220000999999996</v>
      </c>
      <c r="D1064" s="55">
        <f t="shared" si="32"/>
        <v>-2.6351101364610018E-2</v>
      </c>
      <c r="F1064" s="60">
        <v>44721</v>
      </c>
      <c r="G1064" s="47">
        <v>87.895629999999997</v>
      </c>
      <c r="H1064" s="55">
        <f t="shared" si="33"/>
        <v>-2.3850581609076937E-2</v>
      </c>
    </row>
    <row r="1065" spans="2:8">
      <c r="B1065" s="54">
        <v>44722</v>
      </c>
      <c r="C1065" s="46">
        <v>90.889999000000003</v>
      </c>
      <c r="D1065" s="55">
        <f t="shared" si="32"/>
        <v>-3.5342835540831646E-2</v>
      </c>
      <c r="F1065" s="60">
        <v>44722</v>
      </c>
      <c r="G1065" s="47">
        <v>85.301177999999993</v>
      </c>
      <c r="H1065" s="55">
        <f t="shared" si="33"/>
        <v>-2.9517417418818252E-2</v>
      </c>
    </row>
    <row r="1066" spans="2:8">
      <c r="B1066" s="54">
        <v>44725</v>
      </c>
      <c r="C1066" s="46">
        <v>87.959998999999996</v>
      </c>
      <c r="D1066" s="55">
        <f t="shared" si="32"/>
        <v>-3.2236770076320573E-2</v>
      </c>
      <c r="F1066" s="60">
        <v>44725</v>
      </c>
      <c r="G1066" s="47">
        <v>81.838631000000007</v>
      </c>
      <c r="H1066" s="55">
        <f t="shared" si="33"/>
        <v>-4.0592018553366131E-2</v>
      </c>
    </row>
    <row r="1067" spans="2:8">
      <c r="B1067" s="54">
        <v>44726</v>
      </c>
      <c r="C1067" s="46">
        <v>87.400002000000001</v>
      </c>
      <c r="D1067" s="55">
        <f t="shared" si="32"/>
        <v>-6.3664962069860378E-3</v>
      </c>
      <c r="F1067" s="60">
        <v>44726</v>
      </c>
      <c r="G1067" s="47">
        <v>81.572272999999996</v>
      </c>
      <c r="H1067" s="55">
        <f t="shared" si="33"/>
        <v>-3.2546732117257797E-3</v>
      </c>
    </row>
    <row r="1068" spans="2:8">
      <c r="B1068" s="54">
        <v>44727</v>
      </c>
      <c r="C1068" s="46">
        <v>86.75</v>
      </c>
      <c r="D1068" s="55">
        <f t="shared" si="32"/>
        <v>-7.4370936513250951E-3</v>
      </c>
      <c r="F1068" s="60">
        <v>44727</v>
      </c>
      <c r="G1068" s="47">
        <v>82.775779999999997</v>
      </c>
      <c r="H1068" s="55">
        <f t="shared" si="33"/>
        <v>1.4753873537396732E-2</v>
      </c>
    </row>
    <row r="1069" spans="2:8">
      <c r="B1069" s="54">
        <v>44728</v>
      </c>
      <c r="C1069" s="46">
        <v>82.860000999999997</v>
      </c>
      <c r="D1069" s="55">
        <f t="shared" si="32"/>
        <v>-4.4841487031700322E-2</v>
      </c>
      <c r="F1069" s="60">
        <v>44728</v>
      </c>
      <c r="G1069" s="47">
        <v>79.865654000000006</v>
      </c>
      <c r="H1069" s="55">
        <f t="shared" si="33"/>
        <v>-3.5156733044375915E-2</v>
      </c>
    </row>
    <row r="1070" spans="2:8">
      <c r="B1070" s="54">
        <v>44729</v>
      </c>
      <c r="C1070" s="46">
        <v>83.040001000000004</v>
      </c>
      <c r="D1070" s="55">
        <f t="shared" si="32"/>
        <v>2.1723388586491429E-3</v>
      </c>
      <c r="F1070" s="60">
        <v>44729</v>
      </c>
      <c r="G1070" s="47">
        <v>80.201065</v>
      </c>
      <c r="H1070" s="55">
        <f t="shared" si="33"/>
        <v>4.1996901446520862E-3</v>
      </c>
    </row>
    <row r="1071" spans="2:8">
      <c r="B1071" s="54">
        <v>44733</v>
      </c>
      <c r="C1071" s="46">
        <v>84.089995999999999</v>
      </c>
      <c r="D1071" s="55">
        <f t="shared" si="32"/>
        <v>1.264444830630476E-2</v>
      </c>
      <c r="F1071" s="60">
        <v>44733</v>
      </c>
      <c r="G1071" s="47">
        <v>82.114838000000006</v>
      </c>
      <c r="H1071" s="55">
        <f t="shared" si="33"/>
        <v>2.3862189361201203E-2</v>
      </c>
    </row>
    <row r="1072" spans="2:8">
      <c r="B1072" s="54">
        <v>44734</v>
      </c>
      <c r="C1072" s="46">
        <v>83.550003000000004</v>
      </c>
      <c r="D1072" s="55">
        <f t="shared" si="32"/>
        <v>-6.421608106628944E-3</v>
      </c>
      <c r="F1072" s="60">
        <v>44734</v>
      </c>
      <c r="G1072" s="47">
        <v>82.055649000000003</v>
      </c>
      <c r="H1072" s="55">
        <f t="shared" si="33"/>
        <v>-7.2080760848609946E-4</v>
      </c>
    </row>
    <row r="1073" spans="2:8">
      <c r="B1073" s="54">
        <v>44735</v>
      </c>
      <c r="C1073" s="46">
        <v>83.410004000000001</v>
      </c>
      <c r="D1073" s="55">
        <f t="shared" si="32"/>
        <v>-1.6756312983017259E-3</v>
      </c>
      <c r="F1073" s="60">
        <v>44735</v>
      </c>
      <c r="G1073" s="47">
        <v>82.874427999999995</v>
      </c>
      <c r="H1073" s="55">
        <f t="shared" si="33"/>
        <v>9.9783379935242736E-3</v>
      </c>
    </row>
    <row r="1074" spans="2:8">
      <c r="B1074" s="54">
        <v>44736</v>
      </c>
      <c r="C1074" s="46">
        <v>86.919998000000007</v>
      </c>
      <c r="D1074" s="55">
        <f t="shared" si="32"/>
        <v>4.2081211265737453E-2</v>
      </c>
      <c r="F1074" s="60">
        <v>44736</v>
      </c>
      <c r="G1074" s="47">
        <v>85.449157999999997</v>
      </c>
      <c r="H1074" s="55">
        <f t="shared" si="33"/>
        <v>3.106784640492484E-2</v>
      </c>
    </row>
    <row r="1075" spans="2:8">
      <c r="B1075" s="54">
        <v>44739</v>
      </c>
      <c r="C1075" s="46">
        <v>87</v>
      </c>
      <c r="D1075" s="55">
        <f t="shared" si="32"/>
        <v>9.2040959319848628E-4</v>
      </c>
      <c r="F1075" s="60">
        <v>44739</v>
      </c>
      <c r="G1075" s="47">
        <v>85.222260000000006</v>
      </c>
      <c r="H1075" s="55">
        <f t="shared" si="33"/>
        <v>-2.6553567678219998E-3</v>
      </c>
    </row>
    <row r="1076" spans="2:8">
      <c r="B1076" s="54">
        <v>44740</v>
      </c>
      <c r="C1076" s="46">
        <v>87.800003000000004</v>
      </c>
      <c r="D1076" s="55">
        <f t="shared" si="32"/>
        <v>9.1954367816092387E-3</v>
      </c>
      <c r="F1076" s="60">
        <v>44740</v>
      </c>
      <c r="G1076" s="47">
        <v>83.486046000000002</v>
      </c>
      <c r="H1076" s="55">
        <f t="shared" si="33"/>
        <v>-2.0372775845184155E-2</v>
      </c>
    </row>
    <row r="1077" spans="2:8">
      <c r="B1077" s="54">
        <v>44741</v>
      </c>
      <c r="C1077" s="46">
        <v>87.580001999999993</v>
      </c>
      <c r="D1077" s="55">
        <f t="shared" si="32"/>
        <v>-2.5057060647254254E-3</v>
      </c>
      <c r="F1077" s="60">
        <v>44741</v>
      </c>
      <c r="G1077" s="47">
        <v>83.328216999999995</v>
      </c>
      <c r="H1077" s="55">
        <f t="shared" si="33"/>
        <v>-1.8904835905153138E-3</v>
      </c>
    </row>
    <row r="1078" spans="2:8">
      <c r="B1078" s="54">
        <v>44742</v>
      </c>
      <c r="C1078" s="46">
        <v>87.669998000000007</v>
      </c>
      <c r="D1078" s="55">
        <f t="shared" si="32"/>
        <v>1.0275861834304768E-3</v>
      </c>
      <c r="F1078" s="60">
        <v>44742</v>
      </c>
      <c r="G1078" s="47">
        <v>82.647544999999994</v>
      </c>
      <c r="H1078" s="55">
        <f t="shared" si="33"/>
        <v>-8.1685655172485123E-3</v>
      </c>
    </row>
    <row r="1079" spans="2:8">
      <c r="B1079" s="54">
        <v>44743</v>
      </c>
      <c r="C1079" s="46">
        <v>90.32</v>
      </c>
      <c r="D1079" s="55">
        <f t="shared" si="32"/>
        <v>3.0227011069396695E-2</v>
      </c>
      <c r="F1079" s="60">
        <v>44743</v>
      </c>
      <c r="G1079" s="47">
        <v>83.486046000000002</v>
      </c>
      <c r="H1079" s="55">
        <f t="shared" si="33"/>
        <v>1.014550401950848E-2</v>
      </c>
    </row>
    <row r="1080" spans="2:8">
      <c r="B1080" s="54">
        <v>44747</v>
      </c>
      <c r="C1080" s="46">
        <v>87.07</v>
      </c>
      <c r="D1080" s="55">
        <f t="shared" si="32"/>
        <v>-3.5983170947741366E-2</v>
      </c>
      <c r="F1080" s="60">
        <v>44747</v>
      </c>
      <c r="G1080" s="47">
        <v>83.742531</v>
      </c>
      <c r="H1080" s="55">
        <f t="shared" si="33"/>
        <v>3.0721900519758458E-3</v>
      </c>
    </row>
    <row r="1081" spans="2:8">
      <c r="B1081" s="54">
        <v>44748</v>
      </c>
      <c r="C1081" s="46">
        <v>86.43</v>
      </c>
      <c r="D1081" s="55">
        <f t="shared" si="32"/>
        <v>-7.3504077179279478E-3</v>
      </c>
      <c r="F1081" s="60">
        <v>44748</v>
      </c>
      <c r="G1081" s="47">
        <v>83.880645999999999</v>
      </c>
      <c r="H1081" s="55">
        <f t="shared" si="33"/>
        <v>1.6492814147210228E-3</v>
      </c>
    </row>
    <row r="1082" spans="2:8">
      <c r="B1082" s="54">
        <v>44749</v>
      </c>
      <c r="C1082" s="46">
        <v>87.510002</v>
      </c>
      <c r="D1082" s="55">
        <f t="shared" si="32"/>
        <v>1.2495684368853328E-2</v>
      </c>
      <c r="F1082" s="60">
        <v>44749</v>
      </c>
      <c r="G1082" s="47">
        <v>85.281441000000001</v>
      </c>
      <c r="H1082" s="55">
        <f t="shared" si="33"/>
        <v>1.6699859464601671E-2</v>
      </c>
    </row>
    <row r="1083" spans="2:8">
      <c r="B1083" s="54">
        <v>44750</v>
      </c>
      <c r="C1083" s="46">
        <v>88.309997999999993</v>
      </c>
      <c r="D1083" s="55">
        <f t="shared" si="32"/>
        <v>9.1417664463085378E-3</v>
      </c>
      <c r="F1083" s="60">
        <v>44750</v>
      </c>
      <c r="G1083" s="47">
        <v>85.202538000000004</v>
      </c>
      <c r="H1083" s="55">
        <f t="shared" si="33"/>
        <v>-9.2520716201309071E-4</v>
      </c>
    </row>
    <row r="1084" spans="2:8">
      <c r="B1084" s="54">
        <v>44753</v>
      </c>
      <c r="C1084" s="46">
        <v>87.300003000000004</v>
      </c>
      <c r="D1084" s="55">
        <f t="shared" si="32"/>
        <v>-1.1436926994381648E-2</v>
      </c>
      <c r="F1084" s="60">
        <v>44753</v>
      </c>
      <c r="G1084" s="47">
        <v>84.127257999999998</v>
      </c>
      <c r="H1084" s="55">
        <f t="shared" si="33"/>
        <v>-1.2620281334811956E-2</v>
      </c>
    </row>
    <row r="1085" spans="2:8">
      <c r="B1085" s="54">
        <v>44754</v>
      </c>
      <c r="C1085" s="46">
        <v>85.459998999999996</v>
      </c>
      <c r="D1085" s="55">
        <f t="shared" si="32"/>
        <v>-2.1076791944669319E-2</v>
      </c>
      <c r="F1085" s="60">
        <v>44754</v>
      </c>
      <c r="G1085" s="47">
        <v>83.407134999999997</v>
      </c>
      <c r="H1085" s="55">
        <f t="shared" si="33"/>
        <v>-8.5599247749166031E-3</v>
      </c>
    </row>
    <row r="1086" spans="2:8">
      <c r="B1086" s="54">
        <v>44755</v>
      </c>
      <c r="C1086" s="46">
        <v>85.610000999999997</v>
      </c>
      <c r="D1086" s="55">
        <f t="shared" si="32"/>
        <v>1.7552305377396581E-3</v>
      </c>
      <c r="F1086" s="60">
        <v>44755</v>
      </c>
      <c r="G1086" s="47">
        <v>83.052002000000002</v>
      </c>
      <c r="H1086" s="55">
        <f t="shared" si="33"/>
        <v>-4.2578251848597254E-3</v>
      </c>
    </row>
    <row r="1087" spans="2:8">
      <c r="B1087" s="54">
        <v>44756</v>
      </c>
      <c r="C1087" s="46">
        <v>85.529999000000004</v>
      </c>
      <c r="D1087" s="55">
        <f t="shared" si="32"/>
        <v>-9.3449362300548563E-4</v>
      </c>
      <c r="F1087" s="60">
        <v>44756</v>
      </c>
      <c r="G1087" s="47">
        <v>82.687004000000002</v>
      </c>
      <c r="H1087" s="55">
        <f t="shared" si="33"/>
        <v>-4.3948127824781384E-3</v>
      </c>
    </row>
    <row r="1088" spans="2:8">
      <c r="B1088" s="54">
        <v>44757</v>
      </c>
      <c r="C1088" s="46">
        <v>86.760002</v>
      </c>
      <c r="D1088" s="55">
        <f t="shared" si="32"/>
        <v>1.4380954219349358E-2</v>
      </c>
      <c r="F1088" s="60">
        <v>44757</v>
      </c>
      <c r="G1088" s="47">
        <v>84.275238000000002</v>
      </c>
      <c r="H1088" s="55">
        <f t="shared" si="33"/>
        <v>1.9207782640183697E-2</v>
      </c>
    </row>
    <row r="1089" spans="2:8">
      <c r="B1089" s="54">
        <v>44760</v>
      </c>
      <c r="C1089" s="46">
        <v>86.43</v>
      </c>
      <c r="D1089" s="55">
        <f t="shared" si="32"/>
        <v>-3.8036190916638435E-3</v>
      </c>
      <c r="F1089" s="60">
        <v>44760</v>
      </c>
      <c r="G1089" s="47">
        <v>83.673477000000005</v>
      </c>
      <c r="H1089" s="55">
        <f t="shared" si="33"/>
        <v>-7.1404248066317677E-3</v>
      </c>
    </row>
    <row r="1090" spans="2:8">
      <c r="B1090" s="54">
        <v>44761</v>
      </c>
      <c r="C1090" s="46">
        <v>90.07</v>
      </c>
      <c r="D1090" s="55">
        <f t="shared" si="32"/>
        <v>4.2115006363531021E-2</v>
      </c>
      <c r="F1090" s="60">
        <v>44761</v>
      </c>
      <c r="G1090" s="47">
        <v>86.031173999999993</v>
      </c>
      <c r="H1090" s="55">
        <f t="shared" si="33"/>
        <v>2.8177351826791989E-2</v>
      </c>
    </row>
    <row r="1091" spans="2:8">
      <c r="B1091" s="54">
        <v>44762</v>
      </c>
      <c r="C1091" s="46">
        <v>91.639999000000003</v>
      </c>
      <c r="D1091" s="55">
        <f t="shared" si="32"/>
        <v>1.7430875985344842E-2</v>
      </c>
      <c r="F1091" s="60">
        <v>44762</v>
      </c>
      <c r="G1091" s="47">
        <v>86.761177000000004</v>
      </c>
      <c r="H1091" s="55">
        <f t="shared" si="33"/>
        <v>8.4853311428716612E-3</v>
      </c>
    </row>
    <row r="1092" spans="2:8">
      <c r="B1092" s="54">
        <v>44763</v>
      </c>
      <c r="C1092" s="46">
        <v>92.269997000000004</v>
      </c>
      <c r="D1092" s="55">
        <f t="shared" si="32"/>
        <v>6.8747054438531852E-3</v>
      </c>
      <c r="F1092" s="60">
        <v>44763</v>
      </c>
      <c r="G1092" s="47">
        <v>87.599686000000005</v>
      </c>
      <c r="H1092" s="55">
        <f t="shared" si="33"/>
        <v>9.6645646012847655E-3</v>
      </c>
    </row>
    <row r="1093" spans="2:8">
      <c r="B1093" s="54">
        <v>44764</v>
      </c>
      <c r="C1093" s="46">
        <v>91.540001000000004</v>
      </c>
      <c r="D1093" s="55">
        <f t="shared" si="32"/>
        <v>-7.9115207947822938E-3</v>
      </c>
      <c r="F1093" s="60">
        <v>44764</v>
      </c>
      <c r="G1093" s="47">
        <v>86.642798999999997</v>
      </c>
      <c r="H1093" s="55">
        <f t="shared" si="33"/>
        <v>-1.0923406734585885E-2</v>
      </c>
    </row>
    <row r="1094" spans="2:8">
      <c r="B1094" s="54">
        <v>44767</v>
      </c>
      <c r="C1094" s="46">
        <v>92.239998</v>
      </c>
      <c r="D1094" s="55">
        <f t="shared" ref="D1094:D1157" si="34">(C1094-C1093)/C1093</f>
        <v>7.6468974475977572E-3</v>
      </c>
      <c r="F1094" s="60">
        <v>44767</v>
      </c>
      <c r="G1094" s="47">
        <v>86.780906999999999</v>
      </c>
      <c r="H1094" s="55">
        <f t="shared" ref="H1094:H1157" si="35">(G1094-G1093)/G1093</f>
        <v>1.5939928256473175E-3</v>
      </c>
    </row>
    <row r="1095" spans="2:8">
      <c r="B1095" s="54">
        <v>44768</v>
      </c>
      <c r="C1095" s="46">
        <v>91.900002000000001</v>
      </c>
      <c r="D1095" s="55">
        <f t="shared" si="34"/>
        <v>-3.6859931415002775E-3</v>
      </c>
      <c r="F1095" s="60">
        <v>44768</v>
      </c>
      <c r="G1095" s="47">
        <v>85.685905000000005</v>
      </c>
      <c r="H1095" s="55">
        <f t="shared" si="35"/>
        <v>-1.2618005939947064E-2</v>
      </c>
    </row>
    <row r="1096" spans="2:8">
      <c r="B1096" s="54">
        <v>44769</v>
      </c>
      <c r="C1096" s="46">
        <v>93.790001000000004</v>
      </c>
      <c r="D1096" s="55">
        <f t="shared" si="34"/>
        <v>2.0565821097588258E-2</v>
      </c>
      <c r="F1096" s="60">
        <v>44769</v>
      </c>
      <c r="G1096" s="47">
        <v>87.954819000000001</v>
      </c>
      <c r="H1096" s="55">
        <f t="shared" si="35"/>
        <v>2.6479430893564058E-2</v>
      </c>
    </row>
    <row r="1097" spans="2:8">
      <c r="B1097" s="54">
        <v>44770</v>
      </c>
      <c r="C1097" s="46">
        <v>96.43</v>
      </c>
      <c r="D1097" s="55">
        <f t="shared" si="34"/>
        <v>2.8147979228617375E-2</v>
      </c>
      <c r="F1097" s="60">
        <v>44770</v>
      </c>
      <c r="G1097" s="47">
        <v>89.089264</v>
      </c>
      <c r="H1097" s="55">
        <f t="shared" si="35"/>
        <v>1.2898042573426244E-2</v>
      </c>
    </row>
    <row r="1098" spans="2:8">
      <c r="B1098" s="54">
        <v>44771</v>
      </c>
      <c r="C1098" s="46">
        <v>97.589995999999999</v>
      </c>
      <c r="D1098" s="55">
        <f t="shared" si="34"/>
        <v>1.2029409934667556E-2</v>
      </c>
      <c r="F1098" s="60">
        <v>44771</v>
      </c>
      <c r="G1098" s="47">
        <v>90.292777999999998</v>
      </c>
      <c r="H1098" s="55">
        <f t="shared" si="35"/>
        <v>1.350908006154365E-2</v>
      </c>
    </row>
    <row r="1099" spans="2:8">
      <c r="B1099" s="54">
        <v>44774</v>
      </c>
      <c r="C1099" s="46">
        <v>97.739998</v>
      </c>
      <c r="D1099" s="55">
        <f t="shared" si="34"/>
        <v>1.5370632866918105E-3</v>
      </c>
      <c r="F1099" s="60">
        <v>44774</v>
      </c>
      <c r="G1099" s="47">
        <v>90.065894999999998</v>
      </c>
      <c r="H1099" s="55">
        <f t="shared" si="35"/>
        <v>-2.5127480295268003E-3</v>
      </c>
    </row>
    <row r="1100" spans="2:8">
      <c r="B1100" s="54">
        <v>44775</v>
      </c>
      <c r="C1100" s="46">
        <v>98.230002999999996</v>
      </c>
      <c r="D1100" s="55">
        <f t="shared" si="34"/>
        <v>5.0133518521250277E-3</v>
      </c>
      <c r="F1100" s="60">
        <v>44775</v>
      </c>
      <c r="G1100" s="47">
        <v>89.572654999999997</v>
      </c>
      <c r="H1100" s="55">
        <f t="shared" si="35"/>
        <v>-5.4764347814452979E-3</v>
      </c>
    </row>
    <row r="1101" spans="2:8">
      <c r="B1101" s="54">
        <v>44776</v>
      </c>
      <c r="C1101" s="46">
        <v>108.150002</v>
      </c>
      <c r="D1101" s="55">
        <f t="shared" si="34"/>
        <v>0.10098746510269377</v>
      </c>
      <c r="F1101" s="60">
        <v>44776</v>
      </c>
      <c r="G1101" s="47">
        <v>90.983322000000001</v>
      </c>
      <c r="H1101" s="55">
        <f t="shared" si="35"/>
        <v>1.5748857728957611E-2</v>
      </c>
    </row>
    <row r="1102" spans="2:8">
      <c r="B1102" s="54">
        <v>44777</v>
      </c>
      <c r="C1102" s="46">
        <v>106.91999800000001</v>
      </c>
      <c r="D1102" s="55">
        <f t="shared" si="34"/>
        <v>-1.1373129701837582E-2</v>
      </c>
      <c r="F1102" s="60">
        <v>44777</v>
      </c>
      <c r="G1102" s="47">
        <v>90.924126000000001</v>
      </c>
      <c r="H1102" s="55">
        <f t="shared" si="35"/>
        <v>-6.5062473757553085E-4</v>
      </c>
    </row>
    <row r="1103" spans="2:8">
      <c r="B1103" s="54">
        <v>44778</v>
      </c>
      <c r="C1103" s="46">
        <v>110.089996</v>
      </c>
      <c r="D1103" s="55">
        <f t="shared" si="34"/>
        <v>2.9648317052905222E-2</v>
      </c>
      <c r="F1103" s="60">
        <v>44778</v>
      </c>
      <c r="G1103" s="47">
        <v>90.894531000000001</v>
      </c>
      <c r="H1103" s="55">
        <f t="shared" si="35"/>
        <v>-3.2549116831764191E-4</v>
      </c>
    </row>
    <row r="1104" spans="2:8">
      <c r="B1104" s="54">
        <v>44781</v>
      </c>
      <c r="C1104" s="46">
        <v>111.739998</v>
      </c>
      <c r="D1104" s="55">
        <f t="shared" si="34"/>
        <v>1.498775601735875E-2</v>
      </c>
      <c r="F1104" s="60">
        <v>44781</v>
      </c>
      <c r="G1104" s="47">
        <v>90.924126000000001</v>
      </c>
      <c r="H1104" s="55">
        <f t="shared" si="35"/>
        <v>3.255971473135219E-4</v>
      </c>
    </row>
    <row r="1105" spans="2:8">
      <c r="B1105" s="54">
        <v>44782</v>
      </c>
      <c r="C1105" s="46">
        <v>109.69000200000001</v>
      </c>
      <c r="D1105" s="55">
        <f t="shared" si="34"/>
        <v>-1.8346125261251508E-2</v>
      </c>
      <c r="F1105" s="60">
        <v>44782</v>
      </c>
      <c r="G1105" s="47">
        <v>90.391425999999996</v>
      </c>
      <c r="H1105" s="55">
        <f t="shared" si="35"/>
        <v>-5.8587310479069716E-3</v>
      </c>
    </row>
    <row r="1106" spans="2:8">
      <c r="B1106" s="54">
        <v>44783</v>
      </c>
      <c r="C1106" s="46">
        <v>112.650002</v>
      </c>
      <c r="D1106" s="55">
        <f t="shared" si="34"/>
        <v>2.6985139447804857E-2</v>
      </c>
      <c r="F1106" s="60">
        <v>44783</v>
      </c>
      <c r="G1106" s="47">
        <v>92.453177999999994</v>
      </c>
      <c r="H1106" s="55">
        <f t="shared" si="35"/>
        <v>2.2809154487727613E-2</v>
      </c>
    </row>
    <row r="1107" spans="2:8">
      <c r="B1107" s="54">
        <v>44784</v>
      </c>
      <c r="C1107" s="46">
        <v>114.980003</v>
      </c>
      <c r="D1107" s="55">
        <f t="shared" si="34"/>
        <v>2.0683541576856746E-2</v>
      </c>
      <c r="F1107" s="60">
        <v>44784</v>
      </c>
      <c r="G1107" s="47">
        <v>92.472908000000004</v>
      </c>
      <c r="H1107" s="55">
        <f t="shared" si="35"/>
        <v>2.1340531960956275E-4</v>
      </c>
    </row>
    <row r="1108" spans="2:8">
      <c r="B1108" s="54">
        <v>44785</v>
      </c>
      <c r="C1108" s="46">
        <v>118.790001</v>
      </c>
      <c r="D1108" s="55">
        <f t="shared" si="34"/>
        <v>3.3136179340680721E-2</v>
      </c>
      <c r="F1108" s="60">
        <v>44785</v>
      </c>
      <c r="G1108" s="47">
        <v>94.051276999999999</v>
      </c>
      <c r="H1108" s="55">
        <f t="shared" si="35"/>
        <v>1.7068447766344658E-2</v>
      </c>
    </row>
    <row r="1109" spans="2:8">
      <c r="B1109" s="54">
        <v>44788</v>
      </c>
      <c r="C1109" s="46">
        <v>116.33000199999999</v>
      </c>
      <c r="D1109" s="55">
        <f t="shared" si="34"/>
        <v>-2.0708805280673502E-2</v>
      </c>
      <c r="F1109" s="60">
        <v>44788</v>
      </c>
      <c r="G1109" s="47">
        <v>94.416283000000007</v>
      </c>
      <c r="H1109" s="55">
        <f t="shared" si="35"/>
        <v>3.8809255083267838E-3</v>
      </c>
    </row>
    <row r="1110" spans="2:8">
      <c r="B1110" s="54">
        <v>44789</v>
      </c>
      <c r="C1110" s="46">
        <v>118.129997</v>
      </c>
      <c r="D1110" s="55">
        <f t="shared" si="34"/>
        <v>1.5473179481248611E-2</v>
      </c>
      <c r="F1110" s="60">
        <v>44789</v>
      </c>
      <c r="G1110" s="47">
        <v>94.603713999999997</v>
      </c>
      <c r="H1110" s="55">
        <f t="shared" si="35"/>
        <v>1.9851554630676304E-3</v>
      </c>
    </row>
    <row r="1111" spans="2:8">
      <c r="B1111" s="54">
        <v>44790</v>
      </c>
      <c r="C1111" s="46">
        <v>117.480003</v>
      </c>
      <c r="D1111" s="55">
        <f t="shared" si="34"/>
        <v>-5.5023619445279982E-3</v>
      </c>
      <c r="F1111" s="60">
        <v>44790</v>
      </c>
      <c r="G1111" s="47">
        <v>93.775063000000003</v>
      </c>
      <c r="H1111" s="55">
        <f t="shared" si="35"/>
        <v>-8.7591804271024039E-3</v>
      </c>
    </row>
    <row r="1112" spans="2:8">
      <c r="B1112" s="54">
        <v>44791</v>
      </c>
      <c r="C1112" s="46">
        <v>118.220001</v>
      </c>
      <c r="D1112" s="55">
        <f t="shared" si="34"/>
        <v>6.2989273161663095E-3</v>
      </c>
      <c r="F1112" s="60">
        <v>44791</v>
      </c>
      <c r="G1112" s="47">
        <v>94.041420000000002</v>
      </c>
      <c r="H1112" s="55">
        <f t="shared" si="35"/>
        <v>2.8403819893994555E-3</v>
      </c>
    </row>
    <row r="1113" spans="2:8">
      <c r="B1113" s="54">
        <v>44792</v>
      </c>
      <c r="C1113" s="46">
        <v>117.040001</v>
      </c>
      <c r="D1113" s="55">
        <f t="shared" si="34"/>
        <v>-9.9813905432126725E-3</v>
      </c>
      <c r="F1113" s="60">
        <v>44792</v>
      </c>
      <c r="G1113" s="47">
        <v>92.709663000000006</v>
      </c>
      <c r="H1113" s="55">
        <f t="shared" si="35"/>
        <v>-1.4161387609842514E-2</v>
      </c>
    </row>
    <row r="1114" spans="2:8">
      <c r="B1114" s="54">
        <v>44795</v>
      </c>
      <c r="C1114" s="46">
        <v>115.010002</v>
      </c>
      <c r="D1114" s="55">
        <f t="shared" si="34"/>
        <v>-1.7344488915375211E-2</v>
      </c>
      <c r="F1114" s="60">
        <v>44795</v>
      </c>
      <c r="G1114" s="47">
        <v>90.746559000000005</v>
      </c>
      <c r="H1114" s="55">
        <f t="shared" si="35"/>
        <v>-2.11747506837556E-2</v>
      </c>
    </row>
    <row r="1115" spans="2:8">
      <c r="B1115" s="54">
        <v>44796</v>
      </c>
      <c r="C1115" s="46">
        <v>117.32</v>
      </c>
      <c r="D1115" s="55">
        <f t="shared" si="34"/>
        <v>2.0085192242671149E-2</v>
      </c>
      <c r="F1115" s="60">
        <v>44796</v>
      </c>
      <c r="G1115" s="47">
        <v>90.559134999999998</v>
      </c>
      <c r="H1115" s="55">
        <f t="shared" si="35"/>
        <v>-2.0653565497729467E-3</v>
      </c>
    </row>
    <row r="1116" spans="2:8">
      <c r="B1116" s="54">
        <v>44797</v>
      </c>
      <c r="C1116" s="46">
        <v>122.279999</v>
      </c>
      <c r="D1116" s="55">
        <f t="shared" si="34"/>
        <v>4.2277523013978954E-2</v>
      </c>
      <c r="F1116" s="60">
        <v>44797</v>
      </c>
      <c r="G1116" s="47">
        <v>90.904404</v>
      </c>
      <c r="H1116" s="55">
        <f t="shared" si="35"/>
        <v>3.8126357986966401E-3</v>
      </c>
    </row>
    <row r="1117" spans="2:8">
      <c r="B1117" s="54">
        <v>44798</v>
      </c>
      <c r="C1117" s="46">
        <v>122.339996</v>
      </c>
      <c r="D1117" s="55">
        <f t="shared" si="34"/>
        <v>4.9065260460131048E-4</v>
      </c>
      <c r="F1117" s="60">
        <v>44798</v>
      </c>
      <c r="G1117" s="47">
        <v>92.246016999999995</v>
      </c>
      <c r="H1117" s="55">
        <f t="shared" si="35"/>
        <v>1.4758503889426471E-2</v>
      </c>
    </row>
    <row r="1118" spans="2:8">
      <c r="B1118" s="54">
        <v>44799</v>
      </c>
      <c r="C1118" s="46">
        <v>118.949997</v>
      </c>
      <c r="D1118" s="55">
        <f t="shared" si="34"/>
        <v>-2.7709654330869873E-2</v>
      </c>
      <c r="F1118" s="60">
        <v>44799</v>
      </c>
      <c r="G1118" s="47">
        <v>89.138596000000007</v>
      </c>
      <c r="H1118" s="55">
        <f t="shared" si="35"/>
        <v>-3.3686234929796353E-2</v>
      </c>
    </row>
    <row r="1119" spans="2:8">
      <c r="B1119" s="54">
        <v>44802</v>
      </c>
      <c r="C1119" s="46">
        <v>119.029999</v>
      </c>
      <c r="D1119" s="55">
        <f t="shared" si="34"/>
        <v>6.725683229736228E-4</v>
      </c>
      <c r="F1119" s="60">
        <v>44802</v>
      </c>
      <c r="G1119" s="47">
        <v>88.546706999999998</v>
      </c>
      <c r="H1119" s="55">
        <f t="shared" si="35"/>
        <v>-6.640097853908412E-3</v>
      </c>
    </row>
    <row r="1120" spans="2:8">
      <c r="B1120" s="54">
        <v>44803</v>
      </c>
      <c r="C1120" s="46">
        <v>117.730003</v>
      </c>
      <c r="D1120" s="55">
        <f t="shared" si="34"/>
        <v>-1.0921582886008486E-2</v>
      </c>
      <c r="F1120" s="60">
        <v>44803</v>
      </c>
      <c r="G1120" s="47">
        <v>87.560226</v>
      </c>
      <c r="H1120" s="55">
        <f t="shared" si="35"/>
        <v>-1.1140798268195312E-2</v>
      </c>
    </row>
    <row r="1121" spans="2:8">
      <c r="B1121" s="54">
        <v>44804</v>
      </c>
      <c r="C1121" s="46">
        <v>117.41999800000001</v>
      </c>
      <c r="D1121" s="55">
        <f t="shared" si="34"/>
        <v>-2.6331860366977963E-3</v>
      </c>
      <c r="F1121" s="60">
        <v>44804</v>
      </c>
      <c r="G1121" s="47">
        <v>86.859825000000001</v>
      </c>
      <c r="H1121" s="55">
        <f t="shared" si="35"/>
        <v>-7.999077115218951E-3</v>
      </c>
    </row>
    <row r="1122" spans="2:8">
      <c r="B1122" s="54">
        <v>44805</v>
      </c>
      <c r="C1122" s="46">
        <v>116.510002</v>
      </c>
      <c r="D1122" s="55">
        <f t="shared" si="34"/>
        <v>-7.7499234840730166E-3</v>
      </c>
      <c r="F1122" s="60">
        <v>44805</v>
      </c>
      <c r="G1122" s="47">
        <v>86.978202999999993</v>
      </c>
      <c r="H1122" s="55">
        <f t="shared" si="35"/>
        <v>1.3628625201581141E-3</v>
      </c>
    </row>
    <row r="1123" spans="2:8">
      <c r="B1123" s="54">
        <v>44806</v>
      </c>
      <c r="C1123" s="46">
        <v>116.779999</v>
      </c>
      <c r="D1123" s="55">
        <f t="shared" si="34"/>
        <v>2.3173718596280137E-3</v>
      </c>
      <c r="F1123" s="60">
        <v>44806</v>
      </c>
      <c r="G1123" s="47">
        <v>86.090362999999996</v>
      </c>
      <c r="H1123" s="55">
        <f t="shared" si="35"/>
        <v>-1.0207614889445315E-2</v>
      </c>
    </row>
    <row r="1124" spans="2:8">
      <c r="B1124" s="54">
        <v>44810</v>
      </c>
      <c r="C1124" s="46">
        <v>116.32</v>
      </c>
      <c r="D1124" s="55">
        <f t="shared" si="34"/>
        <v>-3.9390221265544834E-3</v>
      </c>
      <c r="F1124" s="60">
        <v>44810</v>
      </c>
      <c r="G1124" s="47">
        <v>85.735236999999998</v>
      </c>
      <c r="H1124" s="55">
        <f t="shared" si="35"/>
        <v>-4.1250377815226372E-3</v>
      </c>
    </row>
    <row r="1125" spans="2:8">
      <c r="B1125" s="54">
        <v>44811</v>
      </c>
      <c r="C1125" s="46">
        <v>119.620003</v>
      </c>
      <c r="D1125" s="55">
        <f t="shared" si="34"/>
        <v>2.8370039546079813E-2</v>
      </c>
      <c r="F1125" s="60">
        <v>44811</v>
      </c>
      <c r="G1125" s="47">
        <v>87.323463000000004</v>
      </c>
      <c r="H1125" s="55">
        <f t="shared" si="35"/>
        <v>1.8524775291634245E-2</v>
      </c>
    </row>
    <row r="1126" spans="2:8">
      <c r="B1126" s="54">
        <v>44812</v>
      </c>
      <c r="C1126" s="46">
        <v>121.82</v>
      </c>
      <c r="D1126" s="55">
        <f t="shared" si="34"/>
        <v>1.8391547774831575E-2</v>
      </c>
      <c r="F1126" s="60">
        <v>44812</v>
      </c>
      <c r="G1126" s="47">
        <v>87.964684000000005</v>
      </c>
      <c r="H1126" s="55">
        <f t="shared" si="35"/>
        <v>7.3430550962002225E-3</v>
      </c>
    </row>
    <row r="1127" spans="2:8">
      <c r="B1127" s="54">
        <v>44813</v>
      </c>
      <c r="C1127" s="46">
        <v>122.410004</v>
      </c>
      <c r="D1127" s="55">
        <f t="shared" si="34"/>
        <v>4.8432441306846784E-3</v>
      </c>
      <c r="F1127" s="60">
        <v>44813</v>
      </c>
      <c r="G1127" s="47">
        <v>89.404944999999998</v>
      </c>
      <c r="H1127" s="55">
        <f t="shared" si="35"/>
        <v>1.6373173124796223E-2</v>
      </c>
    </row>
    <row r="1128" spans="2:8">
      <c r="B1128" s="54">
        <v>44816</v>
      </c>
      <c r="C1128" s="46">
        <v>123.660004</v>
      </c>
      <c r="D1128" s="55">
        <f t="shared" si="34"/>
        <v>1.0211583687228701E-2</v>
      </c>
      <c r="F1128" s="60">
        <v>44816</v>
      </c>
      <c r="G1128" s="47">
        <v>90.421028000000007</v>
      </c>
      <c r="H1128" s="55">
        <f t="shared" si="35"/>
        <v>1.1364953023571671E-2</v>
      </c>
    </row>
    <row r="1129" spans="2:8">
      <c r="B1129" s="54">
        <v>44817</v>
      </c>
      <c r="C1129" s="46">
        <v>119.779999</v>
      </c>
      <c r="D1129" s="55">
        <f t="shared" si="34"/>
        <v>-3.1376393938981249E-2</v>
      </c>
      <c r="F1129" s="60">
        <v>44817</v>
      </c>
      <c r="G1129" s="47">
        <v>86.534278999999998</v>
      </c>
      <c r="H1129" s="55">
        <f t="shared" si="35"/>
        <v>-4.2985012291609961E-2</v>
      </c>
    </row>
    <row r="1130" spans="2:8">
      <c r="B1130" s="54">
        <v>44818</v>
      </c>
      <c r="C1130" s="46">
        <v>120.57</v>
      </c>
      <c r="D1130" s="55">
        <f t="shared" si="34"/>
        <v>6.5954333494358227E-3</v>
      </c>
      <c r="F1130" s="60">
        <v>44818</v>
      </c>
      <c r="G1130" s="47">
        <v>86.869681999999997</v>
      </c>
      <c r="H1130" s="55">
        <f t="shared" si="35"/>
        <v>3.8759553309504024E-3</v>
      </c>
    </row>
    <row r="1131" spans="2:8">
      <c r="B1131" s="54">
        <v>44819</v>
      </c>
      <c r="C1131" s="46">
        <v>120.30999799999999</v>
      </c>
      <c r="D1131" s="55">
        <f t="shared" si="34"/>
        <v>-2.156440242182965E-3</v>
      </c>
      <c r="F1131" s="60">
        <v>44819</v>
      </c>
      <c r="G1131" s="47">
        <v>85.893066000000005</v>
      </c>
      <c r="H1131" s="55">
        <f t="shared" si="35"/>
        <v>-1.1242311212788748E-2</v>
      </c>
    </row>
    <row r="1132" spans="2:8">
      <c r="B1132" s="54">
        <v>44820</v>
      </c>
      <c r="C1132" s="46">
        <v>115.989998</v>
      </c>
      <c r="D1132" s="55">
        <f t="shared" si="34"/>
        <v>-3.5907240227865296E-2</v>
      </c>
      <c r="F1132" s="60">
        <v>44820</v>
      </c>
      <c r="G1132" s="47">
        <v>85.133483999999996</v>
      </c>
      <c r="H1132" s="55">
        <f t="shared" si="35"/>
        <v>-8.843344816681812E-3</v>
      </c>
    </row>
    <row r="1133" spans="2:8">
      <c r="B1133" s="54">
        <v>44823</v>
      </c>
      <c r="C1133" s="46">
        <v>118.089996</v>
      </c>
      <c r="D1133" s="55">
        <f t="shared" si="34"/>
        <v>1.8104992121820707E-2</v>
      </c>
      <c r="F1133" s="60">
        <v>44823</v>
      </c>
      <c r="G1133" s="47">
        <v>85.774688999999995</v>
      </c>
      <c r="H1133" s="55">
        <f t="shared" si="35"/>
        <v>7.5317603588266092E-3</v>
      </c>
    </row>
    <row r="1134" spans="2:8">
      <c r="B1134" s="54">
        <v>44824</v>
      </c>
      <c r="C1134" s="46">
        <v>116.550003</v>
      </c>
      <c r="D1134" s="55">
        <f t="shared" si="34"/>
        <v>-1.3040842172608725E-2</v>
      </c>
      <c r="F1134" s="60">
        <v>44824</v>
      </c>
      <c r="G1134" s="47">
        <v>84.738883999999999</v>
      </c>
      <c r="H1134" s="55">
        <f t="shared" si="35"/>
        <v>-1.2075881732430372E-2</v>
      </c>
    </row>
    <row r="1135" spans="2:8">
      <c r="B1135" s="54">
        <v>44825</v>
      </c>
      <c r="C1135" s="46">
        <v>115.699997</v>
      </c>
      <c r="D1135" s="55">
        <f t="shared" si="34"/>
        <v>-7.2930585853353226E-3</v>
      </c>
      <c r="F1135" s="60">
        <v>44825</v>
      </c>
      <c r="G1135" s="47">
        <v>83.318343999999996</v>
      </c>
      <c r="H1135" s="55">
        <f t="shared" si="35"/>
        <v>-1.6763732692066165E-2</v>
      </c>
    </row>
    <row r="1136" spans="2:8">
      <c r="B1136" s="54">
        <v>44826</v>
      </c>
      <c r="C1136" s="46">
        <v>112.459999</v>
      </c>
      <c r="D1136" s="55">
        <f t="shared" si="34"/>
        <v>-2.8003440656960431E-2</v>
      </c>
      <c r="F1136" s="60">
        <v>44826</v>
      </c>
      <c r="G1136" s="47">
        <v>82.371323000000004</v>
      </c>
      <c r="H1136" s="55">
        <f t="shared" si="35"/>
        <v>-1.1366296478480085E-2</v>
      </c>
    </row>
    <row r="1137" spans="2:8">
      <c r="B1137" s="54">
        <v>44827</v>
      </c>
      <c r="C1137" s="46">
        <v>109.620003</v>
      </c>
      <c r="D1137" s="55">
        <f t="shared" si="34"/>
        <v>-2.5253388095797507E-2</v>
      </c>
      <c r="F1137" s="60">
        <v>44827</v>
      </c>
      <c r="G1137" s="47">
        <v>80.901465999999999</v>
      </c>
      <c r="H1137" s="55">
        <f t="shared" si="35"/>
        <v>-1.7844280587796368E-2</v>
      </c>
    </row>
    <row r="1138" spans="2:8">
      <c r="B1138" s="54">
        <v>44830</v>
      </c>
      <c r="C1138" s="46">
        <v>107.650002</v>
      </c>
      <c r="D1138" s="55">
        <f t="shared" si="34"/>
        <v>-1.7971181774187658E-2</v>
      </c>
      <c r="F1138" s="60">
        <v>44830</v>
      </c>
      <c r="G1138" s="47">
        <v>79.994354000000001</v>
      </c>
      <c r="H1138" s="55">
        <f t="shared" si="35"/>
        <v>-1.1212553305276297E-2</v>
      </c>
    </row>
    <row r="1139" spans="2:8">
      <c r="B1139" s="54">
        <v>44831</v>
      </c>
      <c r="C1139" s="46">
        <v>107.800003</v>
      </c>
      <c r="D1139" s="55">
        <f t="shared" si="34"/>
        <v>1.3934138152640551E-3</v>
      </c>
      <c r="F1139" s="60">
        <v>44831</v>
      </c>
      <c r="G1139" s="47">
        <v>79.934867999999994</v>
      </c>
      <c r="H1139" s="55">
        <f t="shared" si="35"/>
        <v>-7.4362748150959268E-4</v>
      </c>
    </row>
    <row r="1140" spans="2:8">
      <c r="B1140" s="54">
        <v>44832</v>
      </c>
      <c r="C1140" s="46">
        <v>111.849998</v>
      </c>
      <c r="D1140" s="55">
        <f t="shared" si="34"/>
        <v>3.7569525856135599E-2</v>
      </c>
      <c r="F1140" s="60">
        <v>44832</v>
      </c>
      <c r="G1140" s="47">
        <v>81.580558999999994</v>
      </c>
      <c r="H1140" s="55">
        <f t="shared" si="35"/>
        <v>2.0587899138083263E-2</v>
      </c>
    </row>
    <row r="1141" spans="2:8">
      <c r="B1141" s="54">
        <v>44833</v>
      </c>
      <c r="C1141" s="46">
        <v>109.349998</v>
      </c>
      <c r="D1141" s="55">
        <f t="shared" si="34"/>
        <v>-2.2351363832836188E-2</v>
      </c>
      <c r="F1141" s="60">
        <v>44833</v>
      </c>
      <c r="G1141" s="47">
        <v>79.915047000000001</v>
      </c>
      <c r="H1141" s="55">
        <f t="shared" si="35"/>
        <v>-2.0415550229313736E-2</v>
      </c>
    </row>
    <row r="1142" spans="2:8">
      <c r="B1142" s="54">
        <v>44834</v>
      </c>
      <c r="C1142" s="46">
        <v>109.980003</v>
      </c>
      <c r="D1142" s="55">
        <f t="shared" si="34"/>
        <v>5.7613627025397572E-3</v>
      </c>
      <c r="F1142" s="60">
        <v>44834</v>
      </c>
      <c r="G1142" s="47">
        <v>78.854270999999997</v>
      </c>
      <c r="H1142" s="55">
        <f t="shared" si="35"/>
        <v>-1.3273795609480204E-2</v>
      </c>
    </row>
    <row r="1143" spans="2:8">
      <c r="B1143" s="54">
        <v>44837</v>
      </c>
      <c r="C1143" s="46">
        <v>115.029999</v>
      </c>
      <c r="D1143" s="55">
        <f t="shared" si="34"/>
        <v>4.5917401911691233E-2</v>
      </c>
      <c r="F1143" s="60">
        <v>44837</v>
      </c>
      <c r="G1143" s="47">
        <v>80.837029000000001</v>
      </c>
      <c r="H1143" s="55">
        <f t="shared" si="35"/>
        <v>2.5144586017414379E-2</v>
      </c>
    </row>
    <row r="1144" spans="2:8">
      <c r="B1144" s="54">
        <v>44838</v>
      </c>
      <c r="C1144" s="46">
        <v>117.099998</v>
      </c>
      <c r="D1144" s="55">
        <f t="shared" si="34"/>
        <v>1.7995297035515018E-2</v>
      </c>
      <c r="F1144" s="60">
        <v>44838</v>
      </c>
      <c r="G1144" s="47">
        <v>83.484009</v>
      </c>
      <c r="H1144" s="55">
        <f t="shared" si="35"/>
        <v>3.2744647258127202E-2</v>
      </c>
    </row>
    <row r="1145" spans="2:8">
      <c r="B1145" s="54">
        <v>44839</v>
      </c>
      <c r="C1145" s="46">
        <v>119.129997</v>
      </c>
      <c r="D1145" s="55">
        <f t="shared" si="34"/>
        <v>1.7335602345612367E-2</v>
      </c>
      <c r="F1145" s="60">
        <v>44839</v>
      </c>
      <c r="G1145" s="47">
        <v>83.236159999999998</v>
      </c>
      <c r="H1145" s="55">
        <f t="shared" si="35"/>
        <v>-2.9688200527121572E-3</v>
      </c>
    </row>
    <row r="1146" spans="2:8">
      <c r="B1146" s="54">
        <v>44840</v>
      </c>
      <c r="C1146" s="46">
        <v>118.410004</v>
      </c>
      <c r="D1146" s="55">
        <f t="shared" si="34"/>
        <v>-6.0437590710255978E-3</v>
      </c>
      <c r="F1146" s="60">
        <v>44840</v>
      </c>
      <c r="G1146" s="47">
        <v>82.492630000000005</v>
      </c>
      <c r="H1146" s="55">
        <f t="shared" si="35"/>
        <v>-8.9327763318249268E-3</v>
      </c>
    </row>
    <row r="1147" spans="2:8">
      <c r="B1147" s="54">
        <v>44841</v>
      </c>
      <c r="C1147" s="46">
        <v>115.94000200000001</v>
      </c>
      <c r="D1147" s="55">
        <f t="shared" si="34"/>
        <v>-2.0859740871218904E-2</v>
      </c>
      <c r="F1147" s="60">
        <v>44841</v>
      </c>
      <c r="G1147" s="47">
        <v>80.113311999999993</v>
      </c>
      <c r="H1147" s="55">
        <f t="shared" si="35"/>
        <v>-2.8842794804820888E-2</v>
      </c>
    </row>
    <row r="1148" spans="2:8">
      <c r="B1148" s="54">
        <v>44844</v>
      </c>
      <c r="C1148" s="46">
        <v>114.769997</v>
      </c>
      <c r="D1148" s="55">
        <f t="shared" si="34"/>
        <v>-1.0091469551639332E-2</v>
      </c>
      <c r="F1148" s="60">
        <v>44844</v>
      </c>
      <c r="G1148" s="47">
        <v>79.478836000000001</v>
      </c>
      <c r="H1148" s="55">
        <f t="shared" si="35"/>
        <v>-7.9197324908997935E-3</v>
      </c>
    </row>
    <row r="1149" spans="2:8">
      <c r="B1149" s="54">
        <v>44845</v>
      </c>
      <c r="C1149" s="46">
        <v>114.150002</v>
      </c>
      <c r="D1149" s="55">
        <f t="shared" si="34"/>
        <v>-5.402065140770222E-3</v>
      </c>
      <c r="F1149" s="60">
        <v>44845</v>
      </c>
      <c r="G1149" s="47">
        <v>78.943489</v>
      </c>
      <c r="H1149" s="55">
        <f t="shared" si="35"/>
        <v>-6.735717669544148E-3</v>
      </c>
    </row>
    <row r="1150" spans="2:8">
      <c r="B1150" s="54">
        <v>44846</v>
      </c>
      <c r="C1150" s="46">
        <v>112.459999</v>
      </c>
      <c r="D1150" s="55">
        <f t="shared" si="34"/>
        <v>-1.4805107055539118E-2</v>
      </c>
      <c r="F1150" s="60">
        <v>44846</v>
      </c>
      <c r="G1150" s="47">
        <v>78.755127000000002</v>
      </c>
      <c r="H1150" s="55">
        <f t="shared" si="35"/>
        <v>-2.3860359148808069E-3</v>
      </c>
    </row>
    <row r="1151" spans="2:8">
      <c r="B1151" s="54">
        <v>44847</v>
      </c>
      <c r="C1151" s="46">
        <v>115.980003</v>
      </c>
      <c r="D1151" s="55">
        <f t="shared" si="34"/>
        <v>3.13000536306247E-2</v>
      </c>
      <c r="F1151" s="60">
        <v>44847</v>
      </c>
      <c r="G1151" s="47">
        <v>80.698234999999997</v>
      </c>
      <c r="H1151" s="55">
        <f t="shared" si="35"/>
        <v>2.4672780986055614E-2</v>
      </c>
    </row>
    <row r="1152" spans="2:8">
      <c r="B1152" s="54">
        <v>44848</v>
      </c>
      <c r="C1152" s="46">
        <v>114.360001</v>
      </c>
      <c r="D1152" s="55">
        <f t="shared" si="34"/>
        <v>-1.3967942387447597E-2</v>
      </c>
      <c r="F1152" s="60">
        <v>44848</v>
      </c>
      <c r="G1152" s="47">
        <v>78.774956000000003</v>
      </c>
      <c r="H1152" s="55">
        <f t="shared" si="35"/>
        <v>-2.3832974785631851E-2</v>
      </c>
    </row>
    <row r="1153" spans="2:8">
      <c r="B1153" s="54">
        <v>44851</v>
      </c>
      <c r="C1153" s="46">
        <v>114.860001</v>
      </c>
      <c r="D1153" s="55">
        <f t="shared" si="34"/>
        <v>4.3721580590052635E-3</v>
      </c>
      <c r="F1153" s="60">
        <v>44851</v>
      </c>
      <c r="G1153" s="47">
        <v>80.936156999999994</v>
      </c>
      <c r="H1153" s="55">
        <f t="shared" si="35"/>
        <v>2.7435127986615331E-2</v>
      </c>
    </row>
    <row r="1154" spans="2:8">
      <c r="B1154" s="54">
        <v>44852</v>
      </c>
      <c r="C1154" s="46">
        <v>118.949997</v>
      </c>
      <c r="D1154" s="55">
        <f t="shared" si="34"/>
        <v>3.5608531816049692E-2</v>
      </c>
      <c r="F1154" s="60">
        <v>44852</v>
      </c>
      <c r="G1154" s="47">
        <v>81.877967999999996</v>
      </c>
      <c r="H1154" s="55">
        <f t="shared" si="35"/>
        <v>1.1636467987972314E-2</v>
      </c>
    </row>
    <row r="1155" spans="2:8">
      <c r="B1155" s="54">
        <v>44853</v>
      </c>
      <c r="C1155" s="46">
        <v>117.449997</v>
      </c>
      <c r="D1155" s="55">
        <f t="shared" si="34"/>
        <v>-1.2610340797234321E-2</v>
      </c>
      <c r="F1155" s="60">
        <v>44853</v>
      </c>
      <c r="G1155" s="47">
        <v>81.154266000000007</v>
      </c>
      <c r="H1155" s="55">
        <f t="shared" si="35"/>
        <v>-8.8387879875082981E-3</v>
      </c>
    </row>
    <row r="1156" spans="2:8">
      <c r="B1156" s="54">
        <v>44854</v>
      </c>
      <c r="C1156" s="46">
        <v>115.41999800000001</v>
      </c>
      <c r="D1156" s="55">
        <f t="shared" si="34"/>
        <v>-1.7283942544502488E-2</v>
      </c>
      <c r="F1156" s="60">
        <v>44854</v>
      </c>
      <c r="G1156" s="47">
        <v>80.490043999999997</v>
      </c>
      <c r="H1156" s="55">
        <f t="shared" si="35"/>
        <v>-8.1846837232192986E-3</v>
      </c>
    </row>
    <row r="1157" spans="2:8">
      <c r="B1157" s="54">
        <v>44855</v>
      </c>
      <c r="C1157" s="46">
        <v>118.550003</v>
      </c>
      <c r="D1157" s="55">
        <f t="shared" si="34"/>
        <v>2.7118394162508969E-2</v>
      </c>
      <c r="F1157" s="60">
        <v>44855</v>
      </c>
      <c r="G1157" s="47">
        <v>82.363747000000004</v>
      </c>
      <c r="H1157" s="55">
        <f t="shared" si="35"/>
        <v>2.3278692703907655E-2</v>
      </c>
    </row>
    <row r="1158" spans="2:8">
      <c r="B1158" s="54">
        <v>44858</v>
      </c>
      <c r="C1158" s="46">
        <v>118.5</v>
      </c>
      <c r="D1158" s="55">
        <f t="shared" ref="D1158:D1221" si="36">(C1158-C1157)/C1157</f>
        <v>-4.2178826431580767E-4</v>
      </c>
      <c r="F1158" s="60">
        <v>44858</v>
      </c>
      <c r="G1158" s="47">
        <v>83.216330999999997</v>
      </c>
      <c r="H1158" s="55">
        <f t="shared" ref="H1158:H1221" si="37">(G1158-G1157)/G1157</f>
        <v>1.0351447463894438E-2</v>
      </c>
    </row>
    <row r="1159" spans="2:8">
      <c r="B1159" s="54">
        <v>44859</v>
      </c>
      <c r="C1159" s="46">
        <v>118.599998</v>
      </c>
      <c r="D1159" s="55">
        <f t="shared" si="36"/>
        <v>8.4386497890294823E-4</v>
      </c>
      <c r="F1159" s="60">
        <v>44859</v>
      </c>
      <c r="G1159" s="47">
        <v>84.752967999999996</v>
      </c>
      <c r="H1159" s="55">
        <f t="shared" si="37"/>
        <v>1.8465570177565255E-2</v>
      </c>
    </row>
    <row r="1160" spans="2:8">
      <c r="B1160" s="54">
        <v>44860</v>
      </c>
      <c r="C1160" s="46">
        <v>117.989998</v>
      </c>
      <c r="D1160" s="55">
        <f t="shared" si="36"/>
        <v>-5.1433390412030143E-3</v>
      </c>
      <c r="F1160" s="60">
        <v>44860</v>
      </c>
      <c r="G1160" s="47">
        <v>84.168059999999997</v>
      </c>
      <c r="H1160" s="55">
        <f t="shared" si="37"/>
        <v>-6.9013276325614777E-3</v>
      </c>
    </row>
    <row r="1161" spans="2:8">
      <c r="B1161" s="54">
        <v>44861</v>
      </c>
      <c r="C1161" s="46">
        <v>119.5</v>
      </c>
      <c r="D1161" s="55">
        <f t="shared" si="36"/>
        <v>1.2797711887409304E-2</v>
      </c>
      <c r="F1161" s="60">
        <v>44861</v>
      </c>
      <c r="G1161" s="47">
        <v>83.860725000000002</v>
      </c>
      <c r="H1161" s="55">
        <f t="shared" si="37"/>
        <v>-3.6514445028196542E-3</v>
      </c>
    </row>
    <row r="1162" spans="2:8">
      <c r="B1162" s="54">
        <v>44862</v>
      </c>
      <c r="C1162" s="46">
        <v>122.879997</v>
      </c>
      <c r="D1162" s="55">
        <f t="shared" si="36"/>
        <v>2.8284493723849398E-2</v>
      </c>
      <c r="F1162" s="60">
        <v>44862</v>
      </c>
      <c r="G1162" s="47">
        <v>85.784003999999996</v>
      </c>
      <c r="H1162" s="55">
        <f t="shared" si="37"/>
        <v>2.2934204301238676E-2</v>
      </c>
    </row>
    <row r="1163" spans="2:8">
      <c r="B1163" s="54">
        <v>44865</v>
      </c>
      <c r="C1163" s="46">
        <v>122.459999</v>
      </c>
      <c r="D1163" s="55">
        <f t="shared" si="36"/>
        <v>-3.4179525574044955E-3</v>
      </c>
      <c r="F1163" s="60">
        <v>44865</v>
      </c>
      <c r="G1163" s="47">
        <v>85.199096999999995</v>
      </c>
      <c r="H1163" s="55">
        <f t="shared" si="37"/>
        <v>-6.8183690749618218E-3</v>
      </c>
    </row>
    <row r="1164" spans="2:8">
      <c r="B1164" s="54">
        <v>44866</v>
      </c>
      <c r="C1164" s="46">
        <v>121.470001</v>
      </c>
      <c r="D1164" s="55">
        <f t="shared" si="36"/>
        <v>-8.0842561496346239E-3</v>
      </c>
      <c r="F1164" s="60">
        <v>44866</v>
      </c>
      <c r="G1164" s="47">
        <v>84.921509</v>
      </c>
      <c r="H1164" s="55">
        <f t="shared" si="37"/>
        <v>-3.2581096487442163E-3</v>
      </c>
    </row>
    <row r="1165" spans="2:8">
      <c r="B1165" s="54">
        <v>44867</v>
      </c>
      <c r="C1165" s="46">
        <v>119.220001</v>
      </c>
      <c r="D1165" s="55">
        <f t="shared" si="36"/>
        <v>-1.8523091969020401E-2</v>
      </c>
      <c r="F1165" s="60">
        <v>44867</v>
      </c>
      <c r="G1165" s="47">
        <v>82.690910000000002</v>
      </c>
      <c r="H1165" s="55">
        <f t="shared" si="37"/>
        <v>-2.6266596369595812E-2</v>
      </c>
    </row>
    <row r="1166" spans="2:8">
      <c r="B1166" s="54">
        <v>44868</v>
      </c>
      <c r="C1166" s="46">
        <v>111.730003</v>
      </c>
      <c r="D1166" s="55">
        <f t="shared" si="36"/>
        <v>-6.2825012054814527E-2</v>
      </c>
      <c r="F1166" s="60">
        <v>44868</v>
      </c>
      <c r="G1166" s="47">
        <v>81.937454000000002</v>
      </c>
      <c r="H1166" s="55">
        <f t="shared" si="37"/>
        <v>-9.1117149394050675E-3</v>
      </c>
    </row>
    <row r="1167" spans="2:8">
      <c r="B1167" s="54">
        <v>44869</v>
      </c>
      <c r="C1167" s="46">
        <v>111.93</v>
      </c>
      <c r="D1167" s="55">
        <f t="shared" si="36"/>
        <v>1.7900026369820326E-3</v>
      </c>
      <c r="F1167" s="60">
        <v>44869</v>
      </c>
      <c r="G1167" s="47">
        <v>82.978401000000005</v>
      </c>
      <c r="H1167" s="55">
        <f t="shared" si="37"/>
        <v>1.2704165789676631E-2</v>
      </c>
    </row>
    <row r="1168" spans="2:8">
      <c r="B1168" s="54">
        <v>44872</v>
      </c>
      <c r="C1168" s="46">
        <v>111.44000200000001</v>
      </c>
      <c r="D1168" s="55">
        <f t="shared" si="36"/>
        <v>-4.3777182167426057E-3</v>
      </c>
      <c r="F1168" s="60">
        <v>44872</v>
      </c>
      <c r="G1168" s="47">
        <v>83.731849999999994</v>
      </c>
      <c r="H1168" s="55">
        <f t="shared" si="37"/>
        <v>9.0800616897882755E-3</v>
      </c>
    </row>
    <row r="1169" spans="2:8">
      <c r="B1169" s="54">
        <v>44873</v>
      </c>
      <c r="C1169" s="46">
        <v>114.720001</v>
      </c>
      <c r="D1169" s="55">
        <f t="shared" si="36"/>
        <v>2.9432869177443026E-2</v>
      </c>
      <c r="F1169" s="60">
        <v>44873</v>
      </c>
      <c r="G1169" s="47">
        <v>84.148223999999999</v>
      </c>
      <c r="H1169" s="55">
        <f t="shared" si="37"/>
        <v>4.9727075181069651E-3</v>
      </c>
    </row>
    <row r="1170" spans="2:8">
      <c r="B1170" s="54">
        <v>44874</v>
      </c>
      <c r="C1170" s="46">
        <v>112.290001</v>
      </c>
      <c r="D1170" s="55">
        <f t="shared" si="36"/>
        <v>-2.1182008183559836E-2</v>
      </c>
      <c r="F1170" s="60">
        <v>44874</v>
      </c>
      <c r="G1170" s="47">
        <v>82.353836000000001</v>
      </c>
      <c r="H1170" s="55">
        <f t="shared" si="37"/>
        <v>-2.1324133947259516E-2</v>
      </c>
    </row>
    <row r="1171" spans="2:8">
      <c r="B1171" s="54">
        <v>44875</v>
      </c>
      <c r="C1171" s="46">
        <v>118.349998</v>
      </c>
      <c r="D1171" s="55">
        <f t="shared" si="36"/>
        <v>5.3967378627060442E-2</v>
      </c>
      <c r="F1171" s="60">
        <v>44875</v>
      </c>
      <c r="G1171" s="47">
        <v>87.052970999999999</v>
      </c>
      <c r="H1171" s="55">
        <f t="shared" si="37"/>
        <v>5.7060304999028803E-2</v>
      </c>
    </row>
    <row r="1172" spans="2:8">
      <c r="B1172" s="54">
        <v>44876</v>
      </c>
      <c r="C1172" s="46">
        <v>115.55999799999999</v>
      </c>
      <c r="D1172" s="55">
        <f t="shared" si="36"/>
        <v>-2.3574144885072208E-2</v>
      </c>
      <c r="F1172" s="60">
        <v>44876</v>
      </c>
      <c r="G1172" s="47">
        <v>87.984870999999998</v>
      </c>
      <c r="H1172" s="55">
        <f t="shared" si="37"/>
        <v>1.0704976398795153E-2</v>
      </c>
    </row>
    <row r="1173" spans="2:8">
      <c r="B1173" s="54">
        <v>44879</v>
      </c>
      <c r="C1173" s="46">
        <v>111.18</v>
      </c>
      <c r="D1173" s="55">
        <f t="shared" si="36"/>
        <v>-3.7902371718628675E-2</v>
      </c>
      <c r="F1173" s="60">
        <v>44879</v>
      </c>
      <c r="G1173" s="47">
        <v>87.112457000000006</v>
      </c>
      <c r="H1173" s="55">
        <f t="shared" si="37"/>
        <v>-9.9155001318350748E-3</v>
      </c>
    </row>
    <row r="1174" spans="2:8">
      <c r="B1174" s="54">
        <v>44880</v>
      </c>
      <c r="C1174" s="46">
        <v>111.860001</v>
      </c>
      <c r="D1174" s="55">
        <f t="shared" si="36"/>
        <v>6.116216945493704E-3</v>
      </c>
      <c r="F1174" s="60">
        <v>44880</v>
      </c>
      <c r="G1174" s="47">
        <v>88.014610000000005</v>
      </c>
      <c r="H1174" s="55">
        <f t="shared" si="37"/>
        <v>1.0356188208535989E-2</v>
      </c>
    </row>
    <row r="1175" spans="2:8">
      <c r="B1175" s="54">
        <v>44881</v>
      </c>
      <c r="C1175" s="46">
        <v>115.699997</v>
      </c>
      <c r="D1175" s="55">
        <f t="shared" si="36"/>
        <v>3.4328589001174775E-2</v>
      </c>
      <c r="F1175" s="60">
        <v>44881</v>
      </c>
      <c r="G1175" s="47">
        <v>87.152114999999995</v>
      </c>
      <c r="H1175" s="55">
        <f t="shared" si="37"/>
        <v>-9.7994526136059648E-3</v>
      </c>
    </row>
    <row r="1176" spans="2:8">
      <c r="B1176" s="54">
        <v>44882</v>
      </c>
      <c r="C1176" s="46">
        <v>116.33000199999999</v>
      </c>
      <c r="D1176" s="55">
        <f t="shared" si="36"/>
        <v>5.4451600374717125E-3</v>
      </c>
      <c r="F1176" s="60">
        <v>44882</v>
      </c>
      <c r="G1176" s="47">
        <v>86.765472000000003</v>
      </c>
      <c r="H1176" s="55">
        <f t="shared" si="37"/>
        <v>-4.4364155706375268E-3</v>
      </c>
    </row>
    <row r="1177" spans="2:8">
      <c r="B1177" s="54">
        <v>44883</v>
      </c>
      <c r="C1177" s="46">
        <v>117</v>
      </c>
      <c r="D1177" s="55">
        <f t="shared" si="36"/>
        <v>5.7594600574321902E-3</v>
      </c>
      <c r="F1177" s="60">
        <v>44883</v>
      </c>
      <c r="G1177" s="47">
        <v>87.171936000000002</v>
      </c>
      <c r="H1177" s="55">
        <f t="shared" si="37"/>
        <v>4.6846284660331207E-3</v>
      </c>
    </row>
    <row r="1178" spans="2:8">
      <c r="B1178" s="54">
        <v>44886</v>
      </c>
      <c r="C1178" s="46">
        <v>118.029999</v>
      </c>
      <c r="D1178" s="55">
        <f t="shared" si="36"/>
        <v>8.8034102564102882E-3</v>
      </c>
      <c r="F1178" s="60">
        <v>44886</v>
      </c>
      <c r="G1178" s="47">
        <v>86.795212000000006</v>
      </c>
      <c r="H1178" s="55">
        <f t="shared" si="37"/>
        <v>-4.3216202058423466E-3</v>
      </c>
    </row>
    <row r="1179" spans="2:8">
      <c r="B1179" s="54">
        <v>44887</v>
      </c>
      <c r="C1179" s="46">
        <v>120.720001</v>
      </c>
      <c r="D1179" s="55">
        <f t="shared" si="36"/>
        <v>2.2790833032202199E-2</v>
      </c>
      <c r="F1179" s="60">
        <v>44887</v>
      </c>
      <c r="G1179" s="47">
        <v>87.945212999999995</v>
      </c>
      <c r="H1179" s="55">
        <f t="shared" si="37"/>
        <v>1.3249590311502309E-2</v>
      </c>
    </row>
    <row r="1180" spans="2:8">
      <c r="B1180" s="54">
        <v>44888</v>
      </c>
      <c r="C1180" s="46">
        <v>122.620003</v>
      </c>
      <c r="D1180" s="55">
        <f t="shared" si="36"/>
        <v>1.5738916370618656E-2</v>
      </c>
      <c r="F1180" s="60">
        <v>44888</v>
      </c>
      <c r="G1180" s="47">
        <v>88.510300000000001</v>
      </c>
      <c r="H1180" s="55">
        <f t="shared" si="37"/>
        <v>6.4254435315314485E-3</v>
      </c>
    </row>
    <row r="1181" spans="2:8">
      <c r="B1181" s="54">
        <v>44890</v>
      </c>
      <c r="C1181" s="46">
        <v>123.370003</v>
      </c>
      <c r="D1181" s="55">
        <f t="shared" si="36"/>
        <v>6.116457198259896E-3</v>
      </c>
      <c r="F1181" s="60">
        <v>44890</v>
      </c>
      <c r="G1181" s="47">
        <v>88.480559999999997</v>
      </c>
      <c r="H1181" s="55">
        <f t="shared" si="37"/>
        <v>-3.3600609194640483E-4</v>
      </c>
    </row>
    <row r="1182" spans="2:8">
      <c r="B1182" s="54">
        <v>44893</v>
      </c>
      <c r="C1182" s="46">
        <v>119.629997</v>
      </c>
      <c r="D1182" s="55">
        <f t="shared" si="36"/>
        <v>-3.0315359561108174E-2</v>
      </c>
      <c r="F1182" s="60">
        <v>44893</v>
      </c>
      <c r="G1182" s="47">
        <v>87.072800000000001</v>
      </c>
      <c r="H1182" s="55">
        <f t="shared" si="37"/>
        <v>-1.5910387547275879E-2</v>
      </c>
    </row>
    <row r="1183" spans="2:8">
      <c r="B1183" s="54">
        <v>44894</v>
      </c>
      <c r="C1183" s="46">
        <v>115.459999</v>
      </c>
      <c r="D1183" s="55">
        <f t="shared" si="36"/>
        <v>-3.4857461377350088E-2</v>
      </c>
      <c r="F1183" s="60">
        <v>44894</v>
      </c>
      <c r="G1183" s="47">
        <v>87.003403000000006</v>
      </c>
      <c r="H1183" s="55">
        <f t="shared" si="37"/>
        <v>-7.9699975193166001E-4</v>
      </c>
    </row>
    <row r="1184" spans="2:8">
      <c r="B1184" s="54">
        <v>44895</v>
      </c>
      <c r="C1184" s="46">
        <v>120</v>
      </c>
      <c r="D1184" s="55">
        <f t="shared" si="36"/>
        <v>3.9320985963285898E-2</v>
      </c>
      <c r="F1184" s="60">
        <v>44895</v>
      </c>
      <c r="G1184" s="47">
        <v>89.660301000000004</v>
      </c>
      <c r="H1184" s="55">
        <f t="shared" si="37"/>
        <v>3.0537862984508755E-2</v>
      </c>
    </row>
    <row r="1185" spans="2:8">
      <c r="B1185" s="54">
        <v>44896</v>
      </c>
      <c r="C1185" s="46">
        <v>120.699997</v>
      </c>
      <c r="D1185" s="55">
        <f t="shared" si="36"/>
        <v>5.8333083333333017E-3</v>
      </c>
      <c r="F1185" s="60">
        <v>44896</v>
      </c>
      <c r="G1185" s="47">
        <v>89.699950999999999</v>
      </c>
      <c r="H1185" s="55">
        <f t="shared" si="37"/>
        <v>4.4222470321613833E-4</v>
      </c>
    </row>
    <row r="1186" spans="2:8">
      <c r="B1186" s="54">
        <v>44897</v>
      </c>
      <c r="C1186" s="46">
        <v>124.019997</v>
      </c>
      <c r="D1186" s="55">
        <f t="shared" si="36"/>
        <v>2.7506214436774239E-2</v>
      </c>
      <c r="F1186" s="60">
        <v>44897</v>
      </c>
      <c r="G1186" s="47">
        <v>89.590896999999998</v>
      </c>
      <c r="H1186" s="55">
        <f t="shared" si="37"/>
        <v>-1.2157643207631231E-3</v>
      </c>
    </row>
    <row r="1187" spans="2:8">
      <c r="B1187" s="54">
        <v>44900</v>
      </c>
      <c r="C1187" s="46">
        <v>117.599998</v>
      </c>
      <c r="D1187" s="55">
        <f t="shared" si="36"/>
        <v>-5.1765837407656154E-2</v>
      </c>
      <c r="F1187" s="60">
        <v>44900</v>
      </c>
      <c r="G1187" s="47">
        <v>87.846069</v>
      </c>
      <c r="H1187" s="55">
        <f t="shared" si="37"/>
        <v>-1.9475505418815021E-2</v>
      </c>
    </row>
    <row r="1188" spans="2:8">
      <c r="B1188" s="54">
        <v>44901</v>
      </c>
      <c r="C1188" s="46">
        <v>117.129997</v>
      </c>
      <c r="D1188" s="55">
        <f t="shared" si="36"/>
        <v>-3.9966072108266219E-3</v>
      </c>
      <c r="F1188" s="60">
        <v>44901</v>
      </c>
      <c r="G1188" s="47">
        <v>86.547370999999998</v>
      </c>
      <c r="H1188" s="55">
        <f t="shared" si="37"/>
        <v>-1.4783791862103718E-2</v>
      </c>
    </row>
    <row r="1189" spans="2:8">
      <c r="B1189" s="54">
        <v>44902</v>
      </c>
      <c r="C1189" s="46">
        <v>118.769997</v>
      </c>
      <c r="D1189" s="55">
        <f t="shared" si="36"/>
        <v>1.4001537112649294E-2</v>
      </c>
      <c r="F1189" s="60">
        <v>44902</v>
      </c>
      <c r="G1189" s="47">
        <v>86.388740999999996</v>
      </c>
      <c r="H1189" s="55">
        <f t="shared" si="37"/>
        <v>-1.8328690769821568E-3</v>
      </c>
    </row>
    <row r="1190" spans="2:8">
      <c r="B1190" s="54">
        <v>44903</v>
      </c>
      <c r="C1190" s="46">
        <v>118.489998</v>
      </c>
      <c r="D1190" s="55">
        <f t="shared" si="36"/>
        <v>-2.3574893245135271E-3</v>
      </c>
      <c r="F1190" s="60">
        <v>44903</v>
      </c>
      <c r="G1190" s="47">
        <v>87.052970999999999</v>
      </c>
      <c r="H1190" s="55">
        <f t="shared" si="37"/>
        <v>7.6888491753804291E-3</v>
      </c>
    </row>
    <row r="1191" spans="2:8">
      <c r="B1191" s="54">
        <v>44904</v>
      </c>
      <c r="C1191" s="46">
        <v>116.160004</v>
      </c>
      <c r="D1191" s="55">
        <f t="shared" si="36"/>
        <v>-1.9664056370395071E-2</v>
      </c>
      <c r="F1191" s="60">
        <v>44904</v>
      </c>
      <c r="G1191" s="47">
        <v>86.418480000000002</v>
      </c>
      <c r="H1191" s="55">
        <f t="shared" si="37"/>
        <v>-7.2885622708959239E-3</v>
      </c>
    </row>
    <row r="1192" spans="2:8">
      <c r="B1192" s="54">
        <v>44907</v>
      </c>
      <c r="C1192" s="46">
        <v>118.160004</v>
      </c>
      <c r="D1192" s="55">
        <f t="shared" si="36"/>
        <v>1.7217630261100885E-2</v>
      </c>
      <c r="F1192" s="60">
        <v>44907</v>
      </c>
      <c r="G1192" s="47">
        <v>87.608147000000002</v>
      </c>
      <c r="H1192" s="55">
        <f t="shared" si="37"/>
        <v>1.3766349512280243E-2</v>
      </c>
    </row>
    <row r="1193" spans="2:8">
      <c r="B1193" s="54">
        <v>44908</v>
      </c>
      <c r="C1193" s="46">
        <v>120.199997</v>
      </c>
      <c r="D1193" s="55">
        <f t="shared" si="36"/>
        <v>1.7264665969374843E-2</v>
      </c>
      <c r="F1193" s="60">
        <v>44908</v>
      </c>
      <c r="G1193" s="47">
        <v>88.311286999999993</v>
      </c>
      <c r="H1193" s="55">
        <f t="shared" si="37"/>
        <v>8.0259658956145993E-3</v>
      </c>
    </row>
    <row r="1194" spans="2:8">
      <c r="B1194" s="54">
        <v>44909</v>
      </c>
      <c r="C1194" s="46">
        <v>118.760002</v>
      </c>
      <c r="D1194" s="55">
        <f t="shared" si="36"/>
        <v>-1.1979991979533878E-2</v>
      </c>
      <c r="F1194" s="60">
        <v>44909</v>
      </c>
      <c r="G1194" s="47">
        <v>87.843185000000005</v>
      </c>
      <c r="H1194" s="55">
        <f t="shared" si="37"/>
        <v>-5.3005908519936709E-3</v>
      </c>
    </row>
    <row r="1195" spans="2:8">
      <c r="B1195" s="54">
        <v>44910</v>
      </c>
      <c r="C1195" s="46">
        <v>116.5</v>
      </c>
      <c r="D1195" s="55">
        <f t="shared" si="36"/>
        <v>-1.9029992943247004E-2</v>
      </c>
      <c r="F1195" s="60">
        <v>44910</v>
      </c>
      <c r="G1195" s="47">
        <v>85.632171999999997</v>
      </c>
      <c r="H1195" s="55">
        <f t="shared" si="37"/>
        <v>-2.517000038193069E-2</v>
      </c>
    </row>
    <row r="1196" spans="2:8">
      <c r="B1196" s="54">
        <v>44911</v>
      </c>
      <c r="C1196" s="46">
        <v>115</v>
      </c>
      <c r="D1196" s="55">
        <f t="shared" si="36"/>
        <v>-1.2875536480686695E-2</v>
      </c>
      <c r="F1196" s="60">
        <v>44911</v>
      </c>
      <c r="G1196" s="47">
        <v>84.656136000000004</v>
      </c>
      <c r="H1196" s="55">
        <f t="shared" si="37"/>
        <v>-1.1398005880313224E-2</v>
      </c>
    </row>
    <row r="1197" spans="2:8">
      <c r="B1197" s="54">
        <v>44914</v>
      </c>
      <c r="C1197" s="46">
        <v>112.550003</v>
      </c>
      <c r="D1197" s="55">
        <f t="shared" si="36"/>
        <v>-2.13043217391304E-2</v>
      </c>
      <c r="F1197" s="60">
        <v>44914</v>
      </c>
      <c r="G1197" s="47">
        <v>83.839455000000001</v>
      </c>
      <c r="H1197" s="55">
        <f t="shared" si="37"/>
        <v>-9.6470384615712033E-3</v>
      </c>
    </row>
    <row r="1198" spans="2:8">
      <c r="B1198" s="54">
        <v>44915</v>
      </c>
      <c r="C1198" s="46">
        <v>112.949997</v>
      </c>
      <c r="D1198" s="55">
        <f t="shared" si="36"/>
        <v>3.5539226062925328E-3</v>
      </c>
      <c r="F1198" s="60">
        <v>44915</v>
      </c>
      <c r="G1198" s="47">
        <v>83.949005</v>
      </c>
      <c r="H1198" s="55">
        <f t="shared" si="37"/>
        <v>1.3066640282907219E-3</v>
      </c>
    </row>
    <row r="1199" spans="2:8">
      <c r="B1199" s="54">
        <v>44916</v>
      </c>
      <c r="C1199" s="46">
        <v>116.30999799999999</v>
      </c>
      <c r="D1199" s="55">
        <f t="shared" si="36"/>
        <v>2.9747685606401539E-2</v>
      </c>
      <c r="F1199" s="60">
        <v>44916</v>
      </c>
      <c r="G1199" s="47">
        <v>85.223831000000004</v>
      </c>
      <c r="H1199" s="55">
        <f t="shared" si="37"/>
        <v>1.5185718996907759E-2</v>
      </c>
    </row>
    <row r="1200" spans="2:8">
      <c r="B1200" s="54">
        <v>44917</v>
      </c>
      <c r="C1200" s="46">
        <v>113.610001</v>
      </c>
      <c r="D1200" s="55">
        <f t="shared" si="36"/>
        <v>-2.321379972854953E-2</v>
      </c>
      <c r="F1200" s="60">
        <v>44917</v>
      </c>
      <c r="G1200" s="47">
        <v>84.018722999999994</v>
      </c>
      <c r="H1200" s="55">
        <f t="shared" si="37"/>
        <v>-1.4140504901733528E-2</v>
      </c>
    </row>
    <row r="1201" spans="2:8">
      <c r="B1201" s="54">
        <v>44918</v>
      </c>
      <c r="C1201" s="46">
        <v>114.779999</v>
      </c>
      <c r="D1201" s="55">
        <f t="shared" si="36"/>
        <v>1.0298371531569714E-2</v>
      </c>
      <c r="F1201" s="60">
        <v>44918</v>
      </c>
      <c r="G1201" s="47">
        <v>84.506737000000001</v>
      </c>
      <c r="H1201" s="55">
        <f t="shared" si="37"/>
        <v>5.8083958262494283E-3</v>
      </c>
    </row>
    <row r="1202" spans="2:8">
      <c r="B1202" s="54">
        <v>44922</v>
      </c>
      <c r="C1202" s="46">
        <v>114.989998</v>
      </c>
      <c r="D1202" s="55">
        <f t="shared" si="36"/>
        <v>1.8295783396896203E-3</v>
      </c>
      <c r="F1202" s="60">
        <v>44922</v>
      </c>
      <c r="G1202" s="47">
        <v>84.138237000000004</v>
      </c>
      <c r="H1202" s="55">
        <f t="shared" si="37"/>
        <v>-4.3605990845439618E-3</v>
      </c>
    </row>
    <row r="1203" spans="2:8">
      <c r="B1203" s="54">
        <v>44923</v>
      </c>
      <c r="C1203" s="46">
        <v>113.139999</v>
      </c>
      <c r="D1203" s="55">
        <f t="shared" si="36"/>
        <v>-1.6088347092587971E-2</v>
      </c>
      <c r="F1203" s="60">
        <v>44923</v>
      </c>
      <c r="G1203" s="47">
        <v>83.102447999999995</v>
      </c>
      <c r="H1203" s="55">
        <f t="shared" si="37"/>
        <v>-1.2310562200156491E-2</v>
      </c>
    </row>
    <row r="1204" spans="2:8">
      <c r="B1204" s="54">
        <v>44924</v>
      </c>
      <c r="C1204" s="46">
        <v>115.089996</v>
      </c>
      <c r="D1204" s="55">
        <f t="shared" si="36"/>
        <v>1.7235257355800365E-2</v>
      </c>
      <c r="F1204" s="60">
        <v>44924</v>
      </c>
      <c r="G1204" s="47">
        <v>84.646172000000007</v>
      </c>
      <c r="H1204" s="55">
        <f t="shared" si="37"/>
        <v>1.8576155542373574E-2</v>
      </c>
    </row>
    <row r="1205" spans="2:8">
      <c r="B1205" s="54">
        <v>44925</v>
      </c>
      <c r="C1205" s="46">
        <v>114.120003</v>
      </c>
      <c r="D1205" s="55">
        <f t="shared" si="36"/>
        <v>-8.4281261075028827E-3</v>
      </c>
      <c r="F1205" s="60">
        <v>44925</v>
      </c>
      <c r="G1205" s="47">
        <v>84.456947</v>
      </c>
      <c r="H1205" s="55">
        <f t="shared" si="37"/>
        <v>-2.2354820723612581E-3</v>
      </c>
    </row>
    <row r="1206" spans="2:8">
      <c r="B1206" s="54">
        <v>44929</v>
      </c>
      <c r="C1206" s="46">
        <v>113.739998</v>
      </c>
      <c r="D1206" s="55">
        <f t="shared" si="36"/>
        <v>-3.3298719769574233E-3</v>
      </c>
      <c r="F1206" s="60">
        <v>44929</v>
      </c>
      <c r="G1206" s="47">
        <v>84.078475999999995</v>
      </c>
      <c r="H1206" s="55">
        <f t="shared" si="37"/>
        <v>-4.4812299454774825E-3</v>
      </c>
    </row>
    <row r="1207" spans="2:8">
      <c r="B1207" s="54">
        <v>44930</v>
      </c>
      <c r="C1207" s="46">
        <v>113.290001</v>
      </c>
      <c r="D1207" s="55">
        <f t="shared" si="36"/>
        <v>-3.9563654643285312E-3</v>
      </c>
      <c r="F1207" s="60">
        <v>44930</v>
      </c>
      <c r="G1207" s="47">
        <v>84.785606000000001</v>
      </c>
      <c r="H1207" s="55">
        <f t="shared" si="37"/>
        <v>8.4103570098012538E-3</v>
      </c>
    </row>
    <row r="1208" spans="2:8">
      <c r="B1208" s="54">
        <v>44931</v>
      </c>
      <c r="C1208" s="46">
        <v>111.019997</v>
      </c>
      <c r="D1208" s="55">
        <f t="shared" si="36"/>
        <v>-2.0037108129251406E-2</v>
      </c>
      <c r="F1208" s="60">
        <v>44931</v>
      </c>
      <c r="G1208" s="47">
        <v>83.779694000000006</v>
      </c>
      <c r="H1208" s="55">
        <f t="shared" si="37"/>
        <v>-1.1864183644568101E-2</v>
      </c>
    </row>
    <row r="1209" spans="2:8">
      <c r="B1209" s="54">
        <v>44932</v>
      </c>
      <c r="C1209" s="46">
        <v>115.050003</v>
      </c>
      <c r="D1209" s="55">
        <f t="shared" si="36"/>
        <v>3.629982083317837E-2</v>
      </c>
      <c r="F1209" s="60">
        <v>44932</v>
      </c>
      <c r="G1209" s="47">
        <v>85.691924999999998</v>
      </c>
      <c r="H1209" s="55">
        <f t="shared" si="37"/>
        <v>2.2824516403700295E-2</v>
      </c>
    </row>
    <row r="1210" spans="2:8">
      <c r="B1210" s="54">
        <v>44935</v>
      </c>
      <c r="C1210" s="46">
        <v>117.160004</v>
      </c>
      <c r="D1210" s="55">
        <f t="shared" si="36"/>
        <v>1.8339860451807175E-2</v>
      </c>
      <c r="F1210" s="60">
        <v>44935</v>
      </c>
      <c r="G1210" s="47">
        <v>85.701888999999994</v>
      </c>
      <c r="H1210" s="55">
        <f t="shared" si="37"/>
        <v>1.1627700042911315E-4</v>
      </c>
    </row>
    <row r="1211" spans="2:8">
      <c r="B1211" s="54">
        <v>44936</v>
      </c>
      <c r="C1211" s="46">
        <v>116.199997</v>
      </c>
      <c r="D1211" s="55">
        <f t="shared" si="36"/>
        <v>-8.1939823081604232E-3</v>
      </c>
      <c r="F1211" s="60">
        <v>44936</v>
      </c>
      <c r="G1211" s="47">
        <v>86.399055000000004</v>
      </c>
      <c r="H1211" s="55">
        <f t="shared" si="37"/>
        <v>8.1347798529856213E-3</v>
      </c>
    </row>
    <row r="1212" spans="2:8">
      <c r="B1212" s="54">
        <v>44937</v>
      </c>
      <c r="C1212" s="46">
        <v>119.709999</v>
      </c>
      <c r="D1212" s="55">
        <f t="shared" si="36"/>
        <v>3.0206558439067777E-2</v>
      </c>
      <c r="F1212" s="60">
        <v>44937</v>
      </c>
      <c r="G1212" s="47">
        <v>87.504562000000007</v>
      </c>
      <c r="H1212" s="55">
        <f t="shared" si="37"/>
        <v>1.2795359856655872E-2</v>
      </c>
    </row>
    <row r="1213" spans="2:8">
      <c r="B1213" s="54">
        <v>44938</v>
      </c>
      <c r="C1213" s="46">
        <v>118.639999</v>
      </c>
      <c r="D1213" s="55">
        <f t="shared" si="36"/>
        <v>-8.9382675544086611E-3</v>
      </c>
      <c r="F1213" s="60">
        <v>44938</v>
      </c>
      <c r="G1213" s="47">
        <v>87.972663999999995</v>
      </c>
      <c r="H1213" s="55">
        <f t="shared" si="37"/>
        <v>5.3494582373886691E-3</v>
      </c>
    </row>
    <row r="1214" spans="2:8">
      <c r="B1214" s="54">
        <v>44939</v>
      </c>
      <c r="C1214" s="46">
        <v>121.379997</v>
      </c>
      <c r="D1214" s="55">
        <f t="shared" si="36"/>
        <v>2.3095060882460054E-2</v>
      </c>
      <c r="F1214" s="60">
        <v>44939</v>
      </c>
      <c r="G1214" s="47">
        <v>88.321242999999996</v>
      </c>
      <c r="H1214" s="55">
        <f t="shared" si="37"/>
        <v>3.9623558518132509E-3</v>
      </c>
    </row>
    <row r="1215" spans="2:8">
      <c r="B1215" s="54">
        <v>44943</v>
      </c>
      <c r="C1215" s="46">
        <v>122.5</v>
      </c>
      <c r="D1215" s="55">
        <f t="shared" si="36"/>
        <v>9.2272452437117541E-3</v>
      </c>
      <c r="F1215" s="60">
        <v>44943</v>
      </c>
      <c r="G1215" s="47">
        <v>88.191772</v>
      </c>
      <c r="H1215" s="55">
        <f t="shared" si="37"/>
        <v>-1.4659100755635339E-3</v>
      </c>
    </row>
    <row r="1216" spans="2:8">
      <c r="B1216" s="54">
        <v>44944</v>
      </c>
      <c r="C1216" s="46">
        <v>121.989998</v>
      </c>
      <c r="D1216" s="55">
        <f t="shared" si="36"/>
        <v>-4.1632816326530615E-3</v>
      </c>
      <c r="F1216" s="60">
        <v>44944</v>
      </c>
      <c r="G1216" s="47">
        <v>86.837280000000007</v>
      </c>
      <c r="H1216" s="55">
        <f t="shared" si="37"/>
        <v>-1.5358484916257192E-2</v>
      </c>
    </row>
    <row r="1217" spans="2:8">
      <c r="B1217" s="54">
        <v>44945</v>
      </c>
      <c r="C1217" s="46">
        <v>121.58000199999999</v>
      </c>
      <c r="D1217" s="55">
        <f t="shared" si="36"/>
        <v>-3.3608984893991611E-3</v>
      </c>
      <c r="F1217" s="60">
        <v>44945</v>
      </c>
      <c r="G1217" s="47">
        <v>86.150063000000003</v>
      </c>
      <c r="H1217" s="55">
        <f t="shared" si="37"/>
        <v>-7.9138476009382591E-3</v>
      </c>
    </row>
    <row r="1218" spans="2:8">
      <c r="B1218" s="54">
        <v>44946</v>
      </c>
      <c r="C1218" s="46">
        <v>124.80999799999999</v>
      </c>
      <c r="D1218" s="55">
        <f t="shared" si="36"/>
        <v>2.6566836213738506E-2</v>
      </c>
      <c r="F1218" s="60">
        <v>44946</v>
      </c>
      <c r="G1218" s="47">
        <v>87.773467999999994</v>
      </c>
      <c r="H1218" s="55">
        <f t="shared" si="37"/>
        <v>1.8843921216865404E-2</v>
      </c>
    </row>
    <row r="1219" spans="2:8">
      <c r="B1219" s="54">
        <v>44949</v>
      </c>
      <c r="C1219" s="46">
        <v>128.199997</v>
      </c>
      <c r="D1219" s="55">
        <f t="shared" si="36"/>
        <v>2.7161277576496744E-2</v>
      </c>
      <c r="F1219" s="60">
        <v>44949</v>
      </c>
      <c r="G1219" s="47">
        <v>88.918816000000007</v>
      </c>
      <c r="H1219" s="55">
        <f t="shared" si="37"/>
        <v>1.3048909039346751E-2</v>
      </c>
    </row>
    <row r="1220" spans="2:8">
      <c r="B1220" s="54">
        <v>44950</v>
      </c>
      <c r="C1220" s="46">
        <v>128.36000100000001</v>
      </c>
      <c r="D1220" s="55">
        <f t="shared" si="36"/>
        <v>1.2480811524513134E-3</v>
      </c>
      <c r="F1220" s="60">
        <v>44950</v>
      </c>
      <c r="G1220" s="47">
        <v>88.759467999999998</v>
      </c>
      <c r="H1220" s="55">
        <f t="shared" si="37"/>
        <v>-1.7920616486842163E-3</v>
      </c>
    </row>
    <row r="1221" spans="2:8">
      <c r="B1221" s="54">
        <v>44951</v>
      </c>
      <c r="C1221" s="46">
        <v>129.429993</v>
      </c>
      <c r="D1221" s="55">
        <f t="shared" si="36"/>
        <v>8.3358678066696567E-3</v>
      </c>
      <c r="F1221" s="60">
        <v>44951</v>
      </c>
      <c r="G1221" s="47">
        <v>88.789344999999997</v>
      </c>
      <c r="H1221" s="55">
        <f t="shared" si="37"/>
        <v>3.3660634378744863E-4</v>
      </c>
    </row>
    <row r="1222" spans="2:8">
      <c r="B1222" s="54">
        <v>44952</v>
      </c>
      <c r="C1222" s="46">
        <v>127.720001</v>
      </c>
      <c r="D1222" s="55">
        <f t="shared" ref="D1222:D1273" si="38">(C1222-C1221)/C1221</f>
        <v>-1.3211713609534072E-2</v>
      </c>
      <c r="F1222" s="60">
        <v>44952</v>
      </c>
      <c r="G1222" s="47">
        <v>89.745461000000006</v>
      </c>
      <c r="H1222" s="55">
        <f t="shared" ref="H1222:H1273" si="39">(G1222-G1221)/G1221</f>
        <v>1.0768364154505349E-2</v>
      </c>
    </row>
    <row r="1223" spans="2:8">
      <c r="B1223" s="54">
        <v>44953</v>
      </c>
      <c r="C1223" s="46">
        <v>127.389999</v>
      </c>
      <c r="D1223" s="55">
        <f t="shared" si="38"/>
        <v>-2.5837926512386517E-3</v>
      </c>
      <c r="F1223" s="60">
        <v>44953</v>
      </c>
      <c r="G1223" s="47">
        <v>90.113968</v>
      </c>
      <c r="H1223" s="55">
        <f t="shared" si="39"/>
        <v>4.1061352395303187E-3</v>
      </c>
    </row>
    <row r="1224" spans="2:8">
      <c r="B1224" s="54">
        <v>44956</v>
      </c>
      <c r="C1224" s="46">
        <v>128.270004</v>
      </c>
      <c r="D1224" s="55">
        <f t="shared" si="38"/>
        <v>6.9079598626890408E-3</v>
      </c>
      <c r="F1224" s="60">
        <v>44956</v>
      </c>
      <c r="G1224" s="47">
        <v>88.888938999999993</v>
      </c>
      <c r="H1224" s="55">
        <f t="shared" si="39"/>
        <v>-1.3594218822990974E-2</v>
      </c>
    </row>
    <row r="1225" spans="2:8">
      <c r="B1225" s="54">
        <v>44957</v>
      </c>
      <c r="C1225" s="46">
        <v>130.300003</v>
      </c>
      <c r="D1225" s="55">
        <f t="shared" si="38"/>
        <v>1.582598375844756E-2</v>
      </c>
      <c r="F1225" s="60">
        <v>44957</v>
      </c>
      <c r="G1225" s="47">
        <v>90.303191999999996</v>
      </c>
      <c r="H1225" s="55">
        <f t="shared" si="39"/>
        <v>1.5910337280547384E-2</v>
      </c>
    </row>
    <row r="1226" spans="2:8">
      <c r="B1226" s="54">
        <v>44958</v>
      </c>
      <c r="C1226" s="46">
        <v>130.58999600000001</v>
      </c>
      <c r="D1226" s="55">
        <f t="shared" si="38"/>
        <v>2.2255793808386151E-3</v>
      </c>
      <c r="F1226" s="60">
        <v>44958</v>
      </c>
      <c r="G1226" s="47">
        <v>91.358909999999995</v>
      </c>
      <c r="H1226" s="55">
        <f t="shared" si="39"/>
        <v>1.1690815979129496E-2</v>
      </c>
    </row>
    <row r="1227" spans="2:8">
      <c r="B1227" s="54">
        <v>44959</v>
      </c>
      <c r="C1227" s="46">
        <v>130.88999899999999</v>
      </c>
      <c r="D1227" s="55">
        <f t="shared" si="38"/>
        <v>2.2972892961875529E-3</v>
      </c>
      <c r="F1227" s="60">
        <v>44959</v>
      </c>
      <c r="G1227" s="47">
        <v>92.773162999999997</v>
      </c>
      <c r="H1227" s="55">
        <f t="shared" si="39"/>
        <v>1.5480186880513376E-2</v>
      </c>
    </row>
    <row r="1228" spans="2:8">
      <c r="B1228" s="54">
        <v>44960</v>
      </c>
      <c r="C1228" s="46">
        <v>131.91000399999999</v>
      </c>
      <c r="D1228" s="55">
        <f t="shared" si="38"/>
        <v>7.7928413766738414E-3</v>
      </c>
      <c r="F1228" s="60">
        <v>44960</v>
      </c>
      <c r="G1228" s="47">
        <v>91.827003000000005</v>
      </c>
      <c r="H1228" s="55">
        <f t="shared" si="39"/>
        <v>-1.0198639018053011E-2</v>
      </c>
    </row>
    <row r="1229" spans="2:8">
      <c r="B1229" s="54">
        <v>44963</v>
      </c>
      <c r="C1229" s="46">
        <v>131.16000399999999</v>
      </c>
      <c r="D1229" s="55">
        <f t="shared" si="38"/>
        <v>-5.685694619492242E-3</v>
      </c>
      <c r="F1229" s="60">
        <v>44963</v>
      </c>
      <c r="G1229" s="47">
        <v>91.139801000000006</v>
      </c>
      <c r="H1229" s="55">
        <f t="shared" si="39"/>
        <v>-7.483659245636049E-3</v>
      </c>
    </row>
    <row r="1230" spans="2:8">
      <c r="B1230" s="54">
        <v>44964</v>
      </c>
      <c r="C1230" s="46">
        <v>132.64999399999999</v>
      </c>
      <c r="D1230" s="55">
        <f t="shared" si="38"/>
        <v>1.1360094194568689E-2</v>
      </c>
      <c r="F1230" s="60">
        <v>44964</v>
      </c>
      <c r="G1230" s="47">
        <v>92.315025000000006</v>
      </c>
      <c r="H1230" s="55">
        <f t="shared" si="39"/>
        <v>1.2894739588031359E-2</v>
      </c>
    </row>
    <row r="1231" spans="2:8">
      <c r="B1231" s="54">
        <v>44965</v>
      </c>
      <c r="C1231" s="46">
        <v>133.75</v>
      </c>
      <c r="D1231" s="55">
        <f t="shared" si="38"/>
        <v>8.2925446645704913E-3</v>
      </c>
      <c r="F1231" s="60">
        <v>44965</v>
      </c>
      <c r="G1231" s="47">
        <v>91.239395000000002</v>
      </c>
      <c r="H1231" s="55">
        <f t="shared" si="39"/>
        <v>-1.1651732748813141E-2</v>
      </c>
    </row>
    <row r="1232" spans="2:8">
      <c r="B1232" s="54">
        <v>44966</v>
      </c>
      <c r="C1232" s="46">
        <v>132.979996</v>
      </c>
      <c r="D1232" s="55">
        <f t="shared" si="38"/>
        <v>-5.7570392523364497E-3</v>
      </c>
      <c r="F1232" s="60">
        <v>44966</v>
      </c>
      <c r="G1232" s="47">
        <v>90.382874000000001</v>
      </c>
      <c r="H1232" s="55">
        <f t="shared" si="39"/>
        <v>-9.3876225286237455E-3</v>
      </c>
    </row>
    <row r="1233" spans="2:8">
      <c r="B1233" s="54">
        <v>44967</v>
      </c>
      <c r="C1233" s="46">
        <v>134.13999899999999</v>
      </c>
      <c r="D1233" s="55">
        <f t="shared" si="38"/>
        <v>8.7231390802567713E-3</v>
      </c>
      <c r="F1233" s="60">
        <v>44967</v>
      </c>
      <c r="G1233" s="47">
        <v>90.552184999999994</v>
      </c>
      <c r="H1233" s="55">
        <f t="shared" si="39"/>
        <v>1.8732641761313468E-3</v>
      </c>
    </row>
    <row r="1234" spans="2:8">
      <c r="B1234" s="54">
        <v>44970</v>
      </c>
      <c r="C1234" s="46">
        <v>134.270004</v>
      </c>
      <c r="D1234" s="55">
        <f t="shared" si="38"/>
        <v>9.6917400454141396E-4</v>
      </c>
      <c r="F1234" s="60">
        <v>44970</v>
      </c>
      <c r="G1234" s="47">
        <v>91.587975</v>
      </c>
      <c r="H1234" s="55">
        <f t="shared" si="39"/>
        <v>1.1438597533565931E-2</v>
      </c>
    </row>
    <row r="1235" spans="2:8">
      <c r="B1235" s="54">
        <v>44971</v>
      </c>
      <c r="C1235" s="46">
        <v>133.33999600000001</v>
      </c>
      <c r="D1235" s="55">
        <f t="shared" si="38"/>
        <v>-6.9264018194263744E-3</v>
      </c>
      <c r="F1235" s="60">
        <v>44971</v>
      </c>
      <c r="G1235" s="47">
        <v>91.637778999999995</v>
      </c>
      <c r="H1235" s="55">
        <f t="shared" si="39"/>
        <v>5.437831767761503E-4</v>
      </c>
    </row>
    <row r="1236" spans="2:8">
      <c r="B1236" s="54">
        <v>44972</v>
      </c>
      <c r="C1236" s="46">
        <v>133.41000399999999</v>
      </c>
      <c r="D1236" s="55">
        <f t="shared" si="38"/>
        <v>5.2503376406260707E-4</v>
      </c>
      <c r="F1236" s="60">
        <v>44972</v>
      </c>
      <c r="G1236" s="47">
        <v>92.095917</v>
      </c>
      <c r="H1236" s="55">
        <f t="shared" si="39"/>
        <v>4.999444606792634E-3</v>
      </c>
    </row>
    <row r="1237" spans="2:8">
      <c r="B1237" s="54">
        <v>44973</v>
      </c>
      <c r="C1237" s="46">
        <v>134.80999800000001</v>
      </c>
      <c r="D1237" s="55">
        <f t="shared" si="38"/>
        <v>1.0493920680791082E-2</v>
      </c>
      <c r="F1237" s="60">
        <v>44973</v>
      </c>
      <c r="G1237" s="47">
        <v>90.860930999999994</v>
      </c>
      <c r="H1237" s="55">
        <f t="shared" si="39"/>
        <v>-1.340978015344596E-2</v>
      </c>
    </row>
    <row r="1238" spans="2:8">
      <c r="B1238" s="54">
        <v>44974</v>
      </c>
      <c r="C1238" s="46">
        <v>134.729996</v>
      </c>
      <c r="D1238" s="55">
        <f t="shared" si="38"/>
        <v>-5.9344263175500867E-4</v>
      </c>
      <c r="F1238" s="60">
        <v>44974</v>
      </c>
      <c r="G1238" s="47">
        <v>90.631859000000006</v>
      </c>
      <c r="H1238" s="55">
        <f t="shared" si="39"/>
        <v>-2.5211275900308347E-3</v>
      </c>
    </row>
    <row r="1239" spans="2:8">
      <c r="B1239" s="54">
        <v>44978</v>
      </c>
      <c r="C1239" s="46">
        <v>133.30999800000001</v>
      </c>
      <c r="D1239" s="55">
        <f t="shared" si="38"/>
        <v>-1.05395831823523E-2</v>
      </c>
      <c r="F1239" s="60">
        <v>44978</v>
      </c>
      <c r="G1239" s="47">
        <v>88.709671</v>
      </c>
      <c r="H1239" s="55">
        <f t="shared" si="39"/>
        <v>-2.1208745149980928E-2</v>
      </c>
    </row>
    <row r="1240" spans="2:8">
      <c r="B1240" s="54">
        <v>44979</v>
      </c>
      <c r="C1240" s="46">
        <v>134.679993</v>
      </c>
      <c r="D1240" s="55">
        <f t="shared" si="38"/>
        <v>1.0276761087341615E-2</v>
      </c>
      <c r="F1240" s="60">
        <v>44979</v>
      </c>
      <c r="G1240" s="47">
        <v>88.610077000000004</v>
      </c>
      <c r="H1240" s="55">
        <f t="shared" si="39"/>
        <v>-1.122696081242328E-3</v>
      </c>
    </row>
    <row r="1241" spans="2:8">
      <c r="B1241" s="54">
        <v>44980</v>
      </c>
      <c r="C1241" s="46">
        <v>133.479996</v>
      </c>
      <c r="D1241" s="55">
        <f t="shared" si="38"/>
        <v>-8.90998709808365E-3</v>
      </c>
      <c r="F1241" s="60">
        <v>44980</v>
      </c>
      <c r="G1241" s="47">
        <v>89.127967999999996</v>
      </c>
      <c r="H1241" s="55">
        <f t="shared" si="39"/>
        <v>5.8446061388705449E-3</v>
      </c>
    </row>
    <row r="1242" spans="2:8">
      <c r="B1242" s="54">
        <v>44981</v>
      </c>
      <c r="C1242" s="46">
        <v>132.16999799999999</v>
      </c>
      <c r="D1242" s="55">
        <f t="shared" si="38"/>
        <v>-9.8141896857713972E-3</v>
      </c>
      <c r="F1242" s="60">
        <v>44981</v>
      </c>
      <c r="G1242" s="47">
        <v>88.171852000000001</v>
      </c>
      <c r="H1242" s="55">
        <f t="shared" si="39"/>
        <v>-1.0727452015959732E-2</v>
      </c>
    </row>
    <row r="1243" spans="2:8">
      <c r="B1243" s="54">
        <v>44984</v>
      </c>
      <c r="C1243" s="46">
        <v>133.08999600000001</v>
      </c>
      <c r="D1243" s="55">
        <f t="shared" si="38"/>
        <v>6.9607173634066407E-3</v>
      </c>
      <c r="F1243" s="60">
        <v>44984</v>
      </c>
      <c r="G1243" s="47">
        <v>88.450714000000005</v>
      </c>
      <c r="H1243" s="55">
        <f t="shared" si="39"/>
        <v>3.1627100222416074E-3</v>
      </c>
    </row>
    <row r="1244" spans="2:8">
      <c r="B1244" s="54">
        <v>44985</v>
      </c>
      <c r="C1244" s="46">
        <v>132.070007</v>
      </c>
      <c r="D1244" s="55">
        <f t="shared" si="38"/>
        <v>-7.6639043553657438E-3</v>
      </c>
      <c r="F1244" s="60">
        <v>44985</v>
      </c>
      <c r="G1244" s="47">
        <v>88.221648999999999</v>
      </c>
      <c r="H1244" s="55">
        <f t="shared" si="39"/>
        <v>-2.5897473252732093E-3</v>
      </c>
    </row>
    <row r="1245" spans="2:8">
      <c r="B1245" s="54">
        <v>44986</v>
      </c>
      <c r="C1245" s="46">
        <v>133.30999800000001</v>
      </c>
      <c r="D1245" s="55">
        <f t="shared" si="38"/>
        <v>9.3888917564758159E-3</v>
      </c>
      <c r="F1245" s="60">
        <v>44986</v>
      </c>
      <c r="G1245" s="47">
        <v>87.912903</v>
      </c>
      <c r="H1245" s="55">
        <f t="shared" si="39"/>
        <v>-3.4996625374798798E-3</v>
      </c>
    </row>
    <row r="1246" spans="2:8">
      <c r="B1246" s="54">
        <v>44987</v>
      </c>
      <c r="C1246" s="46">
        <v>136.30999800000001</v>
      </c>
      <c r="D1246" s="55">
        <f t="shared" si="38"/>
        <v>2.2503938526801267E-2</v>
      </c>
      <c r="F1246" s="60">
        <v>44987</v>
      </c>
      <c r="G1246" s="47">
        <v>88.530395999999996</v>
      </c>
      <c r="H1246" s="55">
        <f t="shared" si="39"/>
        <v>7.0239177518685294E-3</v>
      </c>
    </row>
    <row r="1247" spans="2:8">
      <c r="B1247" s="54">
        <v>44988</v>
      </c>
      <c r="C1247" s="46">
        <v>136.470001</v>
      </c>
      <c r="D1247" s="55">
        <f t="shared" si="38"/>
        <v>1.1738170519229926E-3</v>
      </c>
      <c r="F1247" s="60">
        <v>44988</v>
      </c>
      <c r="G1247" s="47">
        <v>89.944648999999998</v>
      </c>
      <c r="H1247" s="55">
        <f t="shared" si="39"/>
        <v>1.5974773229298581E-2</v>
      </c>
    </row>
    <row r="1248" spans="2:8">
      <c r="B1248" s="54">
        <v>44991</v>
      </c>
      <c r="C1248" s="46">
        <v>135.020004</v>
      </c>
      <c r="D1248" s="55">
        <f t="shared" si="38"/>
        <v>-1.0625023736901681E-2</v>
      </c>
      <c r="F1248" s="60">
        <v>44991</v>
      </c>
      <c r="G1248" s="47">
        <v>89.845055000000002</v>
      </c>
      <c r="H1248" s="55">
        <f t="shared" si="39"/>
        <v>-1.1072809901119987E-3</v>
      </c>
    </row>
    <row r="1249" spans="2:8">
      <c r="B1249" s="54">
        <v>44992</v>
      </c>
      <c r="C1249" s="46">
        <v>136.029999</v>
      </c>
      <c r="D1249" s="55">
        <f t="shared" si="38"/>
        <v>7.4803360248752735E-3</v>
      </c>
      <c r="F1249" s="60">
        <v>44992</v>
      </c>
      <c r="G1249" s="47">
        <v>88.480598000000001</v>
      </c>
      <c r="H1249" s="55">
        <f t="shared" si="39"/>
        <v>-1.5186779060906597E-2</v>
      </c>
    </row>
    <row r="1250" spans="2:8">
      <c r="B1250" s="54">
        <v>44993</v>
      </c>
      <c r="C1250" s="46">
        <v>138.229996</v>
      </c>
      <c r="D1250" s="55">
        <f t="shared" si="38"/>
        <v>1.6172881101028283E-2</v>
      </c>
      <c r="F1250" s="60">
        <v>44993</v>
      </c>
      <c r="G1250" s="47">
        <v>88.610077000000004</v>
      </c>
      <c r="H1250" s="55">
        <f t="shared" si="39"/>
        <v>1.4633603629125953E-3</v>
      </c>
    </row>
    <row r="1251" spans="2:8">
      <c r="B1251" s="54">
        <v>44994</v>
      </c>
      <c r="C1251" s="46">
        <v>137.58999600000001</v>
      </c>
      <c r="D1251" s="55">
        <f t="shared" si="38"/>
        <v>-4.6299646858123785E-3</v>
      </c>
      <c r="F1251" s="60">
        <v>44994</v>
      </c>
      <c r="G1251" s="47">
        <v>86.867157000000006</v>
      </c>
      <c r="H1251" s="55">
        <f t="shared" si="39"/>
        <v>-1.9669546162339957E-2</v>
      </c>
    </row>
    <row r="1252" spans="2:8">
      <c r="B1252" s="54">
        <v>44995</v>
      </c>
      <c r="C1252" s="46">
        <v>134.490005</v>
      </c>
      <c r="D1252" s="55">
        <f t="shared" si="38"/>
        <v>-2.25306424167642E-2</v>
      </c>
      <c r="F1252" s="60">
        <v>44995</v>
      </c>
      <c r="G1252" s="47">
        <v>85.383185999999995</v>
      </c>
      <c r="H1252" s="55">
        <f t="shared" si="39"/>
        <v>-1.7083222834149054E-2</v>
      </c>
    </row>
    <row r="1253" spans="2:8">
      <c r="B1253" s="54">
        <v>44998</v>
      </c>
      <c r="C1253" s="46">
        <v>130.16000399999999</v>
      </c>
      <c r="D1253" s="55">
        <f t="shared" si="38"/>
        <v>-3.2195708521239257E-2</v>
      </c>
      <c r="F1253" s="60">
        <v>44998</v>
      </c>
      <c r="G1253" s="47">
        <v>85.154114000000007</v>
      </c>
      <c r="H1253" s="55">
        <f t="shared" si="39"/>
        <v>-2.682870137921393E-3</v>
      </c>
    </row>
    <row r="1254" spans="2:8">
      <c r="B1254" s="54">
        <v>44999</v>
      </c>
      <c r="C1254" s="46">
        <v>136.39999399999999</v>
      </c>
      <c r="D1254" s="55">
        <f t="shared" si="38"/>
        <v>4.7940917395792385E-2</v>
      </c>
      <c r="F1254" s="60">
        <v>44999</v>
      </c>
      <c r="G1254" s="47">
        <v>86.538489999999996</v>
      </c>
      <c r="H1254" s="55">
        <f t="shared" si="39"/>
        <v>1.6257300263848543E-2</v>
      </c>
    </row>
    <row r="1255" spans="2:8">
      <c r="B1255" s="54">
        <v>45000</v>
      </c>
      <c r="C1255" s="46">
        <v>133.070007</v>
      </c>
      <c r="D1255" s="55">
        <f t="shared" si="38"/>
        <v>-2.4413395502055436E-2</v>
      </c>
      <c r="F1255" s="60">
        <v>45000</v>
      </c>
      <c r="G1255" s="47">
        <v>85.851273000000006</v>
      </c>
      <c r="H1255" s="55">
        <f t="shared" si="39"/>
        <v>-7.9411716104589962E-3</v>
      </c>
    </row>
    <row r="1256" spans="2:8">
      <c r="B1256" s="54">
        <v>45001</v>
      </c>
      <c r="C1256" s="46">
        <v>135.979996</v>
      </c>
      <c r="D1256" s="55">
        <f t="shared" si="38"/>
        <v>2.1868105860999885E-2</v>
      </c>
      <c r="F1256" s="60">
        <v>45001</v>
      </c>
      <c r="G1256" s="47">
        <v>87.345207000000002</v>
      </c>
      <c r="H1256" s="55">
        <f t="shared" si="39"/>
        <v>1.7401419312675723E-2</v>
      </c>
    </row>
    <row r="1257" spans="2:8">
      <c r="B1257" s="54">
        <v>45002</v>
      </c>
      <c r="C1257" s="46">
        <v>134.320007</v>
      </c>
      <c r="D1257" s="55">
        <f t="shared" si="38"/>
        <v>-1.2207597064497604E-2</v>
      </c>
      <c r="F1257" s="60">
        <v>45002</v>
      </c>
      <c r="G1257" s="47">
        <v>86.229743999999997</v>
      </c>
      <c r="H1257" s="55">
        <f t="shared" si="39"/>
        <v>-1.2770740814662051E-2</v>
      </c>
    </row>
    <row r="1258" spans="2:8">
      <c r="B1258" s="54">
        <v>45005</v>
      </c>
      <c r="C1258" s="46">
        <v>135.020004</v>
      </c>
      <c r="D1258" s="55">
        <f t="shared" si="38"/>
        <v>5.2114127718888232E-3</v>
      </c>
      <c r="F1258" s="60">
        <v>45005</v>
      </c>
      <c r="G1258" s="47">
        <v>86.976707000000005</v>
      </c>
      <c r="H1258" s="55">
        <f t="shared" si="39"/>
        <v>8.6624749807909449E-3</v>
      </c>
    </row>
    <row r="1259" spans="2:8">
      <c r="B1259" s="54">
        <v>45006</v>
      </c>
      <c r="C1259" s="46">
        <v>137.88999899999999</v>
      </c>
      <c r="D1259" s="55">
        <f t="shared" si="38"/>
        <v>2.1256072544628194E-2</v>
      </c>
      <c r="F1259" s="60">
        <v>45006</v>
      </c>
      <c r="G1259" s="47">
        <v>88.271445999999997</v>
      </c>
      <c r="H1259" s="55">
        <f t="shared" si="39"/>
        <v>1.4886042995396373E-2</v>
      </c>
    </row>
    <row r="1260" spans="2:8">
      <c r="B1260" s="54">
        <v>45007</v>
      </c>
      <c r="C1260" s="46">
        <v>133.63000500000001</v>
      </c>
      <c r="D1260" s="55">
        <f t="shared" si="38"/>
        <v>-3.0894147732932958E-2</v>
      </c>
      <c r="F1260" s="60">
        <v>45007</v>
      </c>
      <c r="G1260" s="47">
        <v>86.658005000000003</v>
      </c>
      <c r="H1260" s="55">
        <f t="shared" si="39"/>
        <v>-1.8278175708144564E-2</v>
      </c>
    </row>
    <row r="1261" spans="2:8">
      <c r="B1261" s="54">
        <v>45008</v>
      </c>
      <c r="C1261" s="46">
        <v>132.720001</v>
      </c>
      <c r="D1261" s="55">
        <f t="shared" si="38"/>
        <v>-6.8098777665990123E-3</v>
      </c>
      <c r="F1261" s="60">
        <v>45008</v>
      </c>
      <c r="G1261" s="47">
        <v>86.800003000000004</v>
      </c>
      <c r="H1261" s="55">
        <f t="shared" si="39"/>
        <v>1.6386022272264513E-3</v>
      </c>
    </row>
    <row r="1262" spans="2:8">
      <c r="B1262" s="54">
        <v>45009</v>
      </c>
      <c r="C1262" s="46">
        <v>131.11000100000001</v>
      </c>
      <c r="D1262" s="55">
        <f t="shared" si="38"/>
        <v>-1.2130801596362144E-2</v>
      </c>
      <c r="F1262" s="60">
        <v>45009</v>
      </c>
      <c r="G1262" s="47">
        <v>87.360000999999997</v>
      </c>
      <c r="H1262" s="55">
        <f t="shared" si="39"/>
        <v>6.451589638769864E-3</v>
      </c>
    </row>
    <row r="1263" spans="2:8">
      <c r="B1263" s="54">
        <v>45012</v>
      </c>
      <c r="C1263" s="46">
        <v>132.279999</v>
      </c>
      <c r="D1263" s="55">
        <f t="shared" si="38"/>
        <v>8.9237891165906743E-3</v>
      </c>
      <c r="F1263" s="60">
        <v>45012</v>
      </c>
      <c r="G1263" s="47">
        <v>87.599997999999999</v>
      </c>
      <c r="H1263" s="55">
        <f t="shared" si="39"/>
        <v>2.7472183751463381E-3</v>
      </c>
    </row>
    <row r="1264" spans="2:8">
      <c r="B1264" s="54">
        <v>45013</v>
      </c>
      <c r="C1264" s="46">
        <v>133</v>
      </c>
      <c r="D1264" s="55">
        <f t="shared" si="38"/>
        <v>5.443007298480523E-3</v>
      </c>
      <c r="F1264" s="60">
        <v>45013</v>
      </c>
      <c r="G1264" s="47">
        <v>87.440002000000007</v>
      </c>
      <c r="H1264" s="55">
        <f t="shared" si="39"/>
        <v>-1.8264383978638045E-3</v>
      </c>
    </row>
    <row r="1265" spans="2:8">
      <c r="B1265" s="54">
        <v>45014</v>
      </c>
      <c r="C1265" s="46">
        <v>135.14999399999999</v>
      </c>
      <c r="D1265" s="55">
        <f t="shared" si="38"/>
        <v>1.6165368421052574E-2</v>
      </c>
      <c r="F1265" s="60">
        <v>45014</v>
      </c>
      <c r="G1265" s="47">
        <v>88.730002999999996</v>
      </c>
      <c r="H1265" s="55">
        <f t="shared" si="39"/>
        <v>1.475298456649154E-2</v>
      </c>
    </row>
    <row r="1266" spans="2:8">
      <c r="B1266" s="54">
        <v>45015</v>
      </c>
      <c r="C1266" s="46">
        <v>138.759995</v>
      </c>
      <c r="D1266" s="55">
        <f t="shared" si="38"/>
        <v>2.6711070368231102E-2</v>
      </c>
      <c r="F1266" s="60">
        <v>45015</v>
      </c>
      <c r="G1266" s="47">
        <v>89.199996999999996</v>
      </c>
      <c r="H1266" s="55">
        <f t="shared" si="39"/>
        <v>5.2969005309286398E-3</v>
      </c>
    </row>
    <row r="1267" spans="2:8">
      <c r="B1267" s="54">
        <v>45016</v>
      </c>
      <c r="C1267" s="46">
        <v>142.55999800000001</v>
      </c>
      <c r="D1267" s="55">
        <f t="shared" si="38"/>
        <v>2.7385436270734975E-2</v>
      </c>
      <c r="F1267" s="60">
        <v>45016</v>
      </c>
      <c r="G1267" s="47">
        <v>90.550003000000004</v>
      </c>
      <c r="H1267" s="55">
        <f t="shared" si="39"/>
        <v>1.5134596921567246E-2</v>
      </c>
    </row>
    <row r="1268" spans="2:8">
      <c r="B1268" s="54">
        <v>45019</v>
      </c>
      <c r="C1268" s="46">
        <v>140.91999799999999</v>
      </c>
      <c r="D1268" s="55">
        <f t="shared" si="38"/>
        <v>-1.150392833198563E-2</v>
      </c>
      <c r="F1268" s="60">
        <v>45019</v>
      </c>
      <c r="G1268" s="47">
        <v>90.809997999999993</v>
      </c>
      <c r="H1268" s="55">
        <f t="shared" si="39"/>
        <v>2.8712864868705671E-3</v>
      </c>
    </row>
    <row r="1269" spans="2:8">
      <c r="B1269" s="54">
        <v>45020</v>
      </c>
      <c r="C1269" s="46">
        <v>136.25</v>
      </c>
      <c r="D1269" s="55">
        <f t="shared" si="38"/>
        <v>-3.3139356133115985E-2</v>
      </c>
      <c r="F1269" s="60">
        <v>45020</v>
      </c>
      <c r="G1269" s="47">
        <v>90.150002000000001</v>
      </c>
      <c r="H1269" s="55">
        <f t="shared" si="39"/>
        <v>-7.2678781470735471E-3</v>
      </c>
    </row>
    <row r="1270" spans="2:8">
      <c r="B1270" s="54">
        <v>45021</v>
      </c>
      <c r="C1270" s="46">
        <v>134.070007</v>
      </c>
      <c r="D1270" s="55">
        <f t="shared" si="38"/>
        <v>-1.5999948623853181E-2</v>
      </c>
      <c r="F1270" s="60">
        <v>45021</v>
      </c>
      <c r="G1270" s="47">
        <v>89.839995999999999</v>
      </c>
      <c r="H1270" s="55">
        <f t="shared" si="39"/>
        <v>-3.4387797351352399E-3</v>
      </c>
    </row>
    <row r="1271" spans="2:8">
      <c r="B1271" s="54">
        <v>45022</v>
      </c>
      <c r="C1271" s="46">
        <v>133.94000199999999</v>
      </c>
      <c r="D1271" s="55">
        <f t="shared" si="38"/>
        <v>-9.6967996727270441E-4</v>
      </c>
      <c r="F1271" s="60">
        <v>45022</v>
      </c>
      <c r="G1271" s="47">
        <v>90.129997000000003</v>
      </c>
      <c r="H1271" s="55">
        <f t="shared" si="39"/>
        <v>3.2279720938545426E-3</v>
      </c>
    </row>
    <row r="1272" spans="2:8">
      <c r="B1272" s="54">
        <v>45026</v>
      </c>
      <c r="C1272" s="46">
        <v>137.050003</v>
      </c>
      <c r="D1272" s="55">
        <f t="shared" si="38"/>
        <v>2.3219359067950522E-2</v>
      </c>
      <c r="F1272" s="60">
        <v>45026</v>
      </c>
      <c r="G1272" s="47">
        <v>90.309997999999993</v>
      </c>
      <c r="H1272" s="55">
        <f t="shared" si="39"/>
        <v>1.9971264394915058E-3</v>
      </c>
    </row>
    <row r="1273" spans="2:8" ht="17.25" thickBot="1">
      <c r="B1273" s="56">
        <v>45027</v>
      </c>
      <c r="C1273" s="57">
        <v>138.39999399999999</v>
      </c>
      <c r="D1273" s="58">
        <f t="shared" si="38"/>
        <v>9.850353669820705E-3</v>
      </c>
      <c r="F1273" s="61">
        <v>45027</v>
      </c>
      <c r="G1273" s="62">
        <v>90.419998000000007</v>
      </c>
      <c r="H1273" s="58">
        <f t="shared" si="39"/>
        <v>1.2180268235640272E-3</v>
      </c>
    </row>
    <row r="1274" spans="2:8" ht="17.25" thickTop="1">
      <c r="D1274" s="1" t="s">
        <v>135</v>
      </c>
      <c r="H1274" s="1" t="s">
        <v>135</v>
      </c>
    </row>
  </sheetData>
  <mergeCells count="3">
    <mergeCell ref="J2:K2"/>
    <mergeCell ref="F2:H2"/>
    <mergeCell ref="B2:D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CC4A5-45F8-4E1C-AE24-6D4754F3C7A8}">
  <dimension ref="B8:P52"/>
  <sheetViews>
    <sheetView zoomScale="80" zoomScaleNormal="80" workbookViewId="0"/>
  </sheetViews>
  <sheetFormatPr defaultColWidth="8.85546875" defaultRowHeight="16.5"/>
  <cols>
    <col min="1" max="1" width="8.85546875" style="64"/>
    <col min="2" max="2" width="25.42578125" style="64" customWidth="1"/>
    <col min="3" max="3" width="12.140625" style="64" customWidth="1"/>
    <col min="4" max="16384" width="8.85546875" style="64"/>
  </cols>
  <sheetData>
    <row r="8" spans="3:14">
      <c r="N8"/>
    </row>
    <row r="13" spans="3:14">
      <c r="C13" s="268" t="s">
        <v>403</v>
      </c>
      <c r="D13" s="268" t="s">
        <v>414</v>
      </c>
    </row>
    <row r="14" spans="3:14">
      <c r="C14" s="64" t="s">
        <v>404</v>
      </c>
      <c r="D14" s="628">
        <v>0.17</v>
      </c>
    </row>
    <row r="15" spans="3:14">
      <c r="C15" s="64" t="s">
        <v>405</v>
      </c>
      <c r="D15" s="628">
        <v>0.15</v>
      </c>
    </row>
    <row r="16" spans="3:14">
      <c r="C16" s="64" t="s">
        <v>406</v>
      </c>
      <c r="D16" s="628">
        <v>0.12</v>
      </c>
    </row>
    <row r="17" spans="3:4">
      <c r="C17" s="64" t="s">
        <v>407</v>
      </c>
      <c r="D17" s="628">
        <v>0.08</v>
      </c>
    </row>
    <row r="18" spans="3:4">
      <c r="C18" s="64" t="s">
        <v>408</v>
      </c>
      <c r="D18" s="628">
        <v>0.08</v>
      </c>
    </row>
    <row r="19" spans="3:4">
      <c r="C19" s="64" t="s">
        <v>409</v>
      </c>
      <c r="D19" s="628">
        <v>0.06</v>
      </c>
    </row>
    <row r="20" spans="3:4">
      <c r="C20" s="64" t="s">
        <v>410</v>
      </c>
      <c r="D20" s="628">
        <v>0.04</v>
      </c>
    </row>
    <row r="21" spans="3:4">
      <c r="C21" s="64" t="s">
        <v>411</v>
      </c>
      <c r="D21" s="628">
        <v>0.03</v>
      </c>
    </row>
    <row r="22" spans="3:4">
      <c r="C22" s="64" t="s">
        <v>412</v>
      </c>
      <c r="D22" s="628">
        <v>0.03</v>
      </c>
    </row>
    <row r="23" spans="3:4">
      <c r="C23" s="64" t="s">
        <v>413</v>
      </c>
      <c r="D23" s="628">
        <v>0.03</v>
      </c>
    </row>
    <row r="33" spans="2:16">
      <c r="B33"/>
    </row>
    <row r="38" spans="2:16">
      <c r="P38"/>
    </row>
    <row r="52" spans="12:12">
      <c r="L52"/>
    </row>
  </sheetData>
  <pageMargins left="0.7" right="0.7" top="0.75" bottom="0.75" header="0.3" footer="0.3"/>
  <pageSetup orientation="portrait"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F9F184549045A4FA442C6368AB7A9A2" ma:contentTypeVersion="7" ma:contentTypeDescription="Create a new document." ma:contentTypeScope="" ma:versionID="c74eeeb1692965ec16f6d49faab5438e">
  <xsd:schema xmlns:xsd="http://www.w3.org/2001/XMLSchema" xmlns:xs="http://www.w3.org/2001/XMLSchema" xmlns:p="http://schemas.microsoft.com/office/2006/metadata/properties" xmlns:ns3="6988fbf8-9a6b-4246-b446-a4050428203d" xmlns:ns4="d3340deb-911c-41de-9e28-31c1f5d89008" targetNamespace="http://schemas.microsoft.com/office/2006/metadata/properties" ma:root="true" ma:fieldsID="0f588be1e5214639c3ea4f08db793a50" ns3:_="" ns4:_="">
    <xsd:import namespace="6988fbf8-9a6b-4246-b446-a4050428203d"/>
    <xsd:import namespace="d3340deb-911c-41de-9e28-31c1f5d89008"/>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88fbf8-9a6b-4246-b446-a405042820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3340deb-911c-41de-9e28-31c1f5d8900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90E2A7A-1919-46F9-B33A-6531B8EB57BE}">
  <ds:schemaRefs>
    <ds:schemaRef ds:uri="http://schemas.microsoft.com/sharepoint/v3/contenttype/forms"/>
  </ds:schemaRefs>
</ds:datastoreItem>
</file>

<file path=customXml/itemProps2.xml><?xml version="1.0" encoding="utf-8"?>
<ds:datastoreItem xmlns:ds="http://schemas.openxmlformats.org/officeDocument/2006/customXml" ds:itemID="{BD50A784-EDF9-4108-B7B7-58A64F0694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88fbf8-9a6b-4246-b446-a4050428203d"/>
    <ds:schemaRef ds:uri="d3340deb-911c-41de-9e28-31c1f5d890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AAD182A-C71F-4294-B7C0-6E5ED9D08198}">
  <ds:schemaRefs>
    <ds:schemaRef ds:uri="http://purl.org/dc/terms/"/>
    <ds:schemaRef ds:uri="http://schemas.microsoft.com/office/2006/metadata/properties"/>
    <ds:schemaRef ds:uri="http://purl.org/dc/elements/1.1/"/>
    <ds:schemaRef ds:uri="d3340deb-911c-41de-9e28-31c1f5d89008"/>
    <ds:schemaRef ds:uri="http://schemas.microsoft.com/office/infopath/2007/PartnerControls"/>
    <ds:schemaRef ds:uri="http://schemas.microsoft.com/office/2006/documentManagement/types"/>
    <ds:schemaRef ds:uri="http://schemas.openxmlformats.org/package/2006/metadata/core-properties"/>
    <ds:schemaRef ds:uri="6988fbf8-9a6b-4246-b446-a4050428203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Tear</vt:lpstr>
      <vt:lpstr>Operating Model</vt:lpstr>
      <vt:lpstr>DCF Valuation</vt:lpstr>
      <vt:lpstr>Comparable Valuation</vt:lpstr>
      <vt:lpstr>Historical Valuation</vt:lpstr>
      <vt:lpstr>Share Repurchase</vt:lpstr>
      <vt:lpstr>Beta</vt:lpstr>
      <vt:lpstr>Company Info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Sanchez, David A</dc:creator>
  <cp:lastModifiedBy>Sanchez, David A</cp:lastModifiedBy>
  <cp:lastPrinted>2023-04-05T19:34:15Z</cp:lastPrinted>
  <dcterms:created xsi:type="dcterms:W3CDTF">2023-03-07T18:24:35Z</dcterms:created>
  <dcterms:modified xsi:type="dcterms:W3CDTF">2023-04-27T20:13:53Z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0x0101003F9F184549045A4FA442C6368AB7A9A2</vt:lpwstr>
  </property>
</Properties>
</file>