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livealbany-my.sharepoint.com/personal/dasanchez_albany_edu/Documents/"/>
    </mc:Choice>
  </mc:AlternateContent>
  <xr:revisionPtr revIDLastSave="0" documentId="8_{A806F6FD-714D-48FE-AE29-C1ED00BCA34E}" xr6:coauthVersionLast="47" xr6:coauthVersionMax="47" xr10:uidLastSave="{00000000-0000-0000-0000-000000000000}"/>
  <bookViews>
    <workbookView xWindow="6090" yWindow="2025" windowWidth="21600" windowHeight="11385" xr2:uid="{284F887B-81ED-4C51-B72D-0CE392EA8765}"/>
  </bookViews>
  <sheets>
    <sheet name="Tear Sheet" sheetId="11" r:id="rId1"/>
    <sheet name="Summary" sheetId="18" r:id="rId2"/>
    <sheet name="Operating Model" sheetId="1" r:id="rId3"/>
    <sheet name="DCF Valuation" sheetId="10" r:id="rId4"/>
    <sheet name="Comparable Valuation" sheetId="14" r:id="rId5"/>
    <sheet name="Historical Valuation" sheetId="9" r:id="rId6"/>
    <sheet name="His " sheetId="17" state="hidden" r:id="rId7"/>
    <sheet name="Comparable Valuation (2)" sheetId="16" state="hidden" r:id="rId8"/>
    <sheet name="Debt Schedule" sheetId="19" r:id="rId9"/>
    <sheet name="Share Repurchase" sheetId="7" r:id="rId10"/>
    <sheet name="Beta" sheetId="8" r:id="rId11"/>
    <sheet name="Share Price CAGR" sheetId="15" state="hidden" r:id="rId12"/>
    <sheet name="Sheet1" sheetId="20" state="hidden" r:id="rId13"/>
    <sheet name="BS" sheetId="2" state="hidden" r:id="rId14"/>
    <sheet name="CF" sheetId="3"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0" l="1"/>
  <c r="L14" i="14"/>
  <c r="L15" i="14"/>
  <c r="L33" i="14"/>
  <c r="L34" i="14"/>
  <c r="I34" i="14"/>
  <c r="I33" i="14"/>
  <c r="I15" i="14"/>
  <c r="I14" i="14"/>
  <c r="I51" i="14"/>
  <c r="H14" i="14"/>
  <c r="H15" i="14"/>
  <c r="H21" i="14" s="1"/>
  <c r="H33" i="14"/>
  <c r="H34" i="14"/>
  <c r="I52" i="14"/>
  <c r="I50" i="14"/>
  <c r="I17" i="14" s="1"/>
  <c r="I49" i="14"/>
  <c r="I48" i="14"/>
  <c r="I47" i="14"/>
  <c r="I46" i="14"/>
  <c r="I39" i="14"/>
  <c r="I12" i="14" s="1"/>
  <c r="F33" i="14"/>
  <c r="F34" i="14"/>
  <c r="J33" i="14"/>
  <c r="K33" i="14"/>
  <c r="K34" i="14"/>
  <c r="J14" i="14"/>
  <c r="J15" i="14"/>
  <c r="J34" i="14"/>
  <c r="F14" i="14"/>
  <c r="F15" i="14"/>
  <c r="G14" i="14"/>
  <c r="G15" i="14"/>
  <c r="G21" i="14" s="1"/>
  <c r="G33" i="14"/>
  <c r="G34" i="14"/>
  <c r="H52" i="14"/>
  <c r="H51" i="14"/>
  <c r="H50" i="14"/>
  <c r="H17" i="14" s="1"/>
  <c r="H49" i="14"/>
  <c r="H48" i="14"/>
  <c r="H47" i="14"/>
  <c r="H46" i="14"/>
  <c r="H39" i="14"/>
  <c r="H42" i="14" s="1"/>
  <c r="K14" i="14"/>
  <c r="K15" i="14"/>
  <c r="L52" i="14"/>
  <c r="L51" i="14"/>
  <c r="L50" i="14"/>
  <c r="L17" i="14" s="1"/>
  <c r="L49" i="14"/>
  <c r="L48" i="14"/>
  <c r="L47" i="14"/>
  <c r="L46" i="14"/>
  <c r="L39" i="14"/>
  <c r="L42" i="14" s="1"/>
  <c r="C24" i="7"/>
  <c r="L21" i="14" l="1"/>
  <c r="L18" i="14"/>
  <c r="L20" i="14"/>
  <c r="H18" i="14"/>
  <c r="H20" i="14"/>
  <c r="I21" i="14"/>
  <c r="I20" i="14"/>
  <c r="L26" i="14"/>
  <c r="L25" i="14"/>
  <c r="L23" i="14"/>
  <c r="L27" i="14"/>
  <c r="J21" i="14"/>
  <c r="L12" i="14"/>
  <c r="H23" i="14"/>
  <c r="H25" i="14"/>
  <c r="H26" i="14"/>
  <c r="H27" i="14"/>
  <c r="I25" i="14"/>
  <c r="I23" i="14"/>
  <c r="I26" i="14"/>
  <c r="I53" i="14"/>
  <c r="I31" i="14" s="1"/>
  <c r="I27" i="14"/>
  <c r="I42" i="14"/>
  <c r="F21" i="14"/>
  <c r="K21" i="14"/>
  <c r="H12" i="14"/>
  <c r="H53" i="14"/>
  <c r="H19" i="14" s="1"/>
  <c r="L53" i="14"/>
  <c r="L19" i="14" s="1"/>
  <c r="N22" i="10"/>
  <c r="I21" i="10" s="1"/>
  <c r="AJ13" i="1"/>
  <c r="C18" i="7"/>
  <c r="M6" i="1"/>
  <c r="M7" i="1" s="1"/>
  <c r="Z6" i="7"/>
  <c r="AA6" i="7"/>
  <c r="I18" i="14" l="1"/>
  <c r="I19" i="14"/>
  <c r="L29" i="14"/>
  <c r="L30" i="14"/>
  <c r="L31" i="14"/>
  <c r="L24" i="14"/>
  <c r="L32" i="14"/>
  <c r="I29" i="14"/>
  <c r="I24" i="14"/>
  <c r="I30" i="14"/>
  <c r="I32" i="14"/>
  <c r="H24" i="14"/>
  <c r="H29" i="14"/>
  <c r="H32" i="14"/>
  <c r="H30" i="14"/>
  <c r="H31" i="14"/>
  <c r="M11" i="1"/>
  <c r="M14" i="1" s="1"/>
  <c r="M17" i="1" s="1"/>
  <c r="L10" i="18"/>
  <c r="L8" i="18"/>
  <c r="F52" i="14"/>
  <c r="F51" i="14"/>
  <c r="F50" i="14"/>
  <c r="F17" i="14" s="1"/>
  <c r="F49" i="14"/>
  <c r="F48" i="14"/>
  <c r="F47" i="14"/>
  <c r="F46" i="14"/>
  <c r="F39" i="14"/>
  <c r="F23" i="14" l="1"/>
  <c r="F25" i="14"/>
  <c r="F20" i="14"/>
  <c r="F26" i="14"/>
  <c r="F27" i="14"/>
  <c r="F53" i="14"/>
  <c r="F42" i="14"/>
  <c r="F12" i="14"/>
  <c r="E68" i="11" s="1"/>
  <c r="F68" i="11"/>
  <c r="K14" i="10"/>
  <c r="F19" i="14" l="1"/>
  <c r="H68" i="11" s="1"/>
  <c r="F18" i="14"/>
  <c r="F24" i="14"/>
  <c r="F29" i="14"/>
  <c r="F30" i="14"/>
  <c r="F31" i="14"/>
  <c r="F32" i="14"/>
  <c r="G68" i="11"/>
  <c r="N21" i="10"/>
  <c r="L42" i="18"/>
  <c r="K42" i="18"/>
  <c r="J42" i="18"/>
  <c r="I42" i="18"/>
  <c r="H42" i="18"/>
  <c r="AM13" i="1"/>
  <c r="M10" i="18"/>
  <c r="M8" i="18"/>
  <c r="L9" i="18"/>
  <c r="D5" i="20"/>
  <c r="D6" i="20"/>
  <c r="D7" i="20"/>
  <c r="D8" i="20"/>
  <c r="D9" i="20"/>
  <c r="D4" i="20"/>
  <c r="BF59" i="1"/>
  <c r="BG59" i="1"/>
  <c r="BH59" i="1"/>
  <c r="BE59" i="1"/>
  <c r="AZ59" i="1"/>
  <c r="BA59" i="1"/>
  <c r="BB59" i="1"/>
  <c r="AY59" i="1"/>
  <c r="AT59" i="1"/>
  <c r="AU59" i="1"/>
  <c r="AV59" i="1"/>
  <c r="AS59" i="1"/>
  <c r="AN59" i="1"/>
  <c r="Q38" i="14" s="1"/>
  <c r="AO59" i="1"/>
  <c r="AP59" i="1"/>
  <c r="AM59" i="1"/>
  <c r="AJ59" i="1"/>
  <c r="AI59" i="1"/>
  <c r="BF13" i="1"/>
  <c r="BG13" i="1"/>
  <c r="BH13" i="1"/>
  <c r="BE13" i="1"/>
  <c r="AZ13" i="1"/>
  <c r="BA13" i="1"/>
  <c r="BB13" i="1"/>
  <c r="AY13" i="1"/>
  <c r="AT13" i="1"/>
  <c r="AU13" i="1"/>
  <c r="AV13" i="1"/>
  <c r="AS13" i="1"/>
  <c r="AO13" i="1"/>
  <c r="AP13" i="1"/>
  <c r="AN13" i="1"/>
  <c r="AI13" i="1"/>
  <c r="E38" i="19"/>
  <c r="E40" i="19" s="1"/>
  <c r="D38" i="19"/>
  <c r="D40" i="19"/>
  <c r="C40" i="19"/>
  <c r="C36" i="19"/>
  <c r="D35" i="19"/>
  <c r="E35" i="19" s="1"/>
  <c r="C33" i="19"/>
  <c r="D32" i="19"/>
  <c r="E32" i="19" s="1"/>
  <c r="C48" i="19"/>
  <c r="C42" i="19" s="1"/>
  <c r="D42" i="19" s="1"/>
  <c r="E42" i="19" s="1"/>
  <c r="F42" i="19" s="1"/>
  <c r="G42" i="19" s="1"/>
  <c r="H42" i="19" s="1"/>
  <c r="I42" i="19" s="1"/>
  <c r="J42" i="19" s="1"/>
  <c r="K42" i="19" s="1"/>
  <c r="L42" i="19" s="1"/>
  <c r="M42" i="19" s="1"/>
  <c r="N42" i="19" s="1"/>
  <c r="O42" i="19" s="1"/>
  <c r="P42" i="19" s="1"/>
  <c r="Q42" i="19" s="1"/>
  <c r="R42" i="19" s="1"/>
  <c r="S42" i="19" s="1"/>
  <c r="T42" i="19" s="1"/>
  <c r="D10" i="19"/>
  <c r="E10" i="19" s="1"/>
  <c r="E14" i="19" s="1"/>
  <c r="C29" i="19"/>
  <c r="T28" i="19"/>
  <c r="S28" i="19"/>
  <c r="R28" i="19"/>
  <c r="Q28" i="19"/>
  <c r="P28" i="19"/>
  <c r="O28" i="19"/>
  <c r="N28" i="19"/>
  <c r="M28" i="19"/>
  <c r="L28" i="19"/>
  <c r="K28" i="19"/>
  <c r="J28" i="19"/>
  <c r="I28" i="19"/>
  <c r="H28" i="19"/>
  <c r="G28" i="19"/>
  <c r="F28" i="19"/>
  <c r="E28" i="19"/>
  <c r="D28" i="19"/>
  <c r="C28" i="19"/>
  <c r="C30" i="19" s="1"/>
  <c r="D27" i="19"/>
  <c r="C24" i="19"/>
  <c r="T23" i="19"/>
  <c r="S23" i="19"/>
  <c r="R23" i="19"/>
  <c r="Q23" i="19"/>
  <c r="P23" i="19"/>
  <c r="O23" i="19"/>
  <c r="N23" i="19"/>
  <c r="M23" i="19"/>
  <c r="L23" i="19"/>
  <c r="K23" i="19"/>
  <c r="J23" i="19"/>
  <c r="I23" i="19"/>
  <c r="H23" i="19"/>
  <c r="G23" i="19"/>
  <c r="F23" i="19"/>
  <c r="E23" i="19"/>
  <c r="D23" i="19"/>
  <c r="C23" i="19"/>
  <c r="C25" i="19" s="1"/>
  <c r="D22" i="19"/>
  <c r="E22" i="19" s="1"/>
  <c r="C19" i="19"/>
  <c r="T18" i="19"/>
  <c r="S18" i="19"/>
  <c r="R18" i="19"/>
  <c r="Q18" i="19"/>
  <c r="P18" i="19"/>
  <c r="O18" i="19"/>
  <c r="N18" i="19"/>
  <c r="M18" i="19"/>
  <c r="L18" i="19"/>
  <c r="K18" i="19"/>
  <c r="J18" i="19"/>
  <c r="I18" i="19"/>
  <c r="H18" i="19"/>
  <c r="G18" i="19"/>
  <c r="F18" i="19"/>
  <c r="E18" i="19"/>
  <c r="D18" i="19"/>
  <c r="C18" i="19"/>
  <c r="C20" i="19" s="1"/>
  <c r="D17" i="19"/>
  <c r="D19" i="19" s="1"/>
  <c r="C14" i="19"/>
  <c r="T12" i="19"/>
  <c r="T13" i="19" s="1"/>
  <c r="S12" i="19"/>
  <c r="S13" i="19" s="1"/>
  <c r="R12" i="19"/>
  <c r="R13" i="19" s="1"/>
  <c r="Q12" i="19"/>
  <c r="Q13" i="19" s="1"/>
  <c r="P12" i="19"/>
  <c r="P13" i="19" s="1"/>
  <c r="O12" i="19"/>
  <c r="O13" i="19" s="1"/>
  <c r="N12" i="19"/>
  <c r="N13" i="19" s="1"/>
  <c r="M12" i="19"/>
  <c r="M13" i="19" s="1"/>
  <c r="L12" i="19"/>
  <c r="L13" i="19" s="1"/>
  <c r="K12" i="19"/>
  <c r="K13" i="19" s="1"/>
  <c r="J12" i="19"/>
  <c r="J13" i="19" s="1"/>
  <c r="I12" i="19"/>
  <c r="I13" i="19" s="1"/>
  <c r="H12" i="19"/>
  <c r="H13" i="19" s="1"/>
  <c r="G12" i="19"/>
  <c r="G13" i="19" s="1"/>
  <c r="F12" i="19"/>
  <c r="F13" i="19" s="1"/>
  <c r="E12" i="19"/>
  <c r="E13" i="19" s="1"/>
  <c r="D12" i="19"/>
  <c r="D13" i="19" s="1"/>
  <c r="C12" i="19"/>
  <c r="C13" i="19" s="1"/>
  <c r="C15" i="19" s="1"/>
  <c r="E4" i="19"/>
  <c r="I4" i="19" s="1"/>
  <c r="M4" i="19" s="1"/>
  <c r="Q4" i="19" s="1"/>
  <c r="L41" i="18"/>
  <c r="K41" i="18"/>
  <c r="J41" i="18"/>
  <c r="I41" i="18"/>
  <c r="H41" i="18"/>
  <c r="L23" i="18"/>
  <c r="K23" i="18"/>
  <c r="J23" i="18"/>
  <c r="I23" i="18"/>
  <c r="H23" i="18"/>
  <c r="L21" i="18"/>
  <c r="D38" i="11" s="1"/>
  <c r="K21" i="18"/>
  <c r="C38" i="11" s="1"/>
  <c r="J21" i="18"/>
  <c r="I21" i="18"/>
  <c r="H21" i="18"/>
  <c r="F9" i="18"/>
  <c r="F8" i="18"/>
  <c r="F7" i="18"/>
  <c r="L5" i="8"/>
  <c r="L4" i="8"/>
  <c r="I26" i="10"/>
  <c r="I27" i="10"/>
  <c r="N26" i="10"/>
  <c r="D27" i="10" s="1"/>
  <c r="J8" i="7" l="1"/>
  <c r="M9" i="18"/>
  <c r="F38" i="19"/>
  <c r="F35" i="19"/>
  <c r="E36" i="19"/>
  <c r="D36" i="19"/>
  <c r="D33" i="19"/>
  <c r="E33" i="19"/>
  <c r="F32" i="19"/>
  <c r="D14" i="19"/>
  <c r="C46" i="19"/>
  <c r="C43" i="19"/>
  <c r="D15" i="19"/>
  <c r="D20" i="19"/>
  <c r="E17" i="19"/>
  <c r="F17" i="19" s="1"/>
  <c r="D24" i="19"/>
  <c r="D25" i="19"/>
  <c r="F10" i="19"/>
  <c r="E15" i="19"/>
  <c r="E24" i="19"/>
  <c r="F22" i="19"/>
  <c r="E25" i="19"/>
  <c r="E19" i="19"/>
  <c r="E20" i="19"/>
  <c r="D30" i="19"/>
  <c r="D29" i="19"/>
  <c r="E27" i="19"/>
  <c r="D24" i="18"/>
  <c r="I22" i="18"/>
  <c r="I24" i="18"/>
  <c r="J22" i="18"/>
  <c r="L22" i="18"/>
  <c r="D39" i="11" s="1"/>
  <c r="L24" i="18"/>
  <c r="K22" i="18"/>
  <c r="C39" i="11" s="1"/>
  <c r="J24" i="18"/>
  <c r="K24" i="18"/>
  <c r="D22" i="18"/>
  <c r="G38" i="11" s="1"/>
  <c r="K25" i="18"/>
  <c r="C40" i="11" s="1"/>
  <c r="H25" i="18"/>
  <c r="I25" i="18"/>
  <c r="J25" i="18"/>
  <c r="L25" i="18"/>
  <c r="D40" i="11" s="1"/>
  <c r="C45" i="19" l="1"/>
  <c r="AI56" i="1"/>
  <c r="N25" i="10"/>
  <c r="H18" i="11"/>
  <c r="E67" i="11" s="1"/>
  <c r="F40" i="19"/>
  <c r="G38" i="19"/>
  <c r="G35" i="19"/>
  <c r="F36" i="19"/>
  <c r="G32" i="19"/>
  <c r="F33" i="19"/>
  <c r="D46" i="19"/>
  <c r="F14" i="19"/>
  <c r="G10" i="19"/>
  <c r="F15" i="19"/>
  <c r="G22" i="19"/>
  <c r="F24" i="19"/>
  <c r="F25" i="19"/>
  <c r="F27" i="19"/>
  <c r="E29" i="19"/>
  <c r="E30" i="19"/>
  <c r="E46" i="19" s="1"/>
  <c r="D43" i="19"/>
  <c r="AJ56" i="1" s="1"/>
  <c r="F19" i="19"/>
  <c r="F20" i="19"/>
  <c r="G17" i="19"/>
  <c r="D26" i="18"/>
  <c r="G40" i="11" s="1"/>
  <c r="J26" i="18"/>
  <c r="J27" i="18"/>
  <c r="I26" i="18"/>
  <c r="I27" i="18"/>
  <c r="L26" i="18"/>
  <c r="D41" i="11" s="1"/>
  <c r="L27" i="18"/>
  <c r="K27" i="18"/>
  <c r="K26" i="18"/>
  <c r="C41" i="11" s="1"/>
  <c r="D45" i="19" l="1"/>
  <c r="G40" i="19"/>
  <c r="H38" i="19"/>
  <c r="H35" i="19"/>
  <c r="G36" i="19"/>
  <c r="H32" i="19"/>
  <c r="G33" i="19"/>
  <c r="G14" i="19"/>
  <c r="H10" i="19"/>
  <c r="G15" i="19"/>
  <c r="G19" i="19"/>
  <c r="G20" i="19"/>
  <c r="H17" i="19"/>
  <c r="E43" i="19"/>
  <c r="F29" i="19"/>
  <c r="G27" i="19"/>
  <c r="F30" i="19"/>
  <c r="F46" i="19" s="1"/>
  <c r="G24" i="19"/>
  <c r="G25" i="19"/>
  <c r="H22" i="19"/>
  <c r="E45" i="19" l="1"/>
  <c r="AM56" i="1"/>
  <c r="H40" i="19"/>
  <c r="I38" i="19"/>
  <c r="I35" i="19"/>
  <c r="H36" i="19"/>
  <c r="H33" i="19"/>
  <c r="I32" i="19"/>
  <c r="H14" i="19"/>
  <c r="H15" i="19"/>
  <c r="I10" i="19"/>
  <c r="H19" i="19"/>
  <c r="I17" i="19"/>
  <c r="H20" i="19"/>
  <c r="F43" i="19"/>
  <c r="H24" i="19"/>
  <c r="H25" i="19"/>
  <c r="I22" i="19"/>
  <c r="H27" i="19"/>
  <c r="G30" i="19"/>
  <c r="G46" i="19" s="1"/>
  <c r="G29" i="19"/>
  <c r="F45" i="19" l="1"/>
  <c r="AN56" i="1"/>
  <c r="I40" i="19"/>
  <c r="J38" i="19"/>
  <c r="J35" i="19"/>
  <c r="I36" i="19"/>
  <c r="I33" i="19"/>
  <c r="J32" i="19"/>
  <c r="I14" i="19"/>
  <c r="J10" i="19"/>
  <c r="I15" i="19"/>
  <c r="G43" i="19"/>
  <c r="J22" i="19"/>
  <c r="I24" i="19"/>
  <c r="I25" i="19"/>
  <c r="H30" i="19"/>
  <c r="H46" i="19" s="1"/>
  <c r="I27" i="19"/>
  <c r="H29" i="19"/>
  <c r="J17" i="19"/>
  <c r="I20" i="19"/>
  <c r="I19" i="19"/>
  <c r="G45" i="19" l="1"/>
  <c r="AO56" i="1"/>
  <c r="J40" i="19"/>
  <c r="K38" i="19"/>
  <c r="K35" i="19"/>
  <c r="J36" i="19"/>
  <c r="J33" i="19"/>
  <c r="K32" i="19"/>
  <c r="J14" i="19"/>
  <c r="J15" i="19"/>
  <c r="K10" i="19"/>
  <c r="J24" i="19"/>
  <c r="K22" i="19"/>
  <c r="J25" i="19"/>
  <c r="J20" i="19"/>
  <c r="K17" i="19"/>
  <c r="J19" i="19"/>
  <c r="J27" i="19"/>
  <c r="I29" i="19"/>
  <c r="I30" i="19"/>
  <c r="I46" i="19" s="1"/>
  <c r="H43" i="19"/>
  <c r="H45" i="19" l="1"/>
  <c r="AP56" i="1"/>
  <c r="K40" i="19"/>
  <c r="L38" i="19"/>
  <c r="L35" i="19"/>
  <c r="K36" i="19"/>
  <c r="K33" i="19"/>
  <c r="L32" i="19"/>
  <c r="K14" i="19"/>
  <c r="L10" i="19"/>
  <c r="K15" i="19"/>
  <c r="L17" i="19"/>
  <c r="K19" i="19"/>
  <c r="K20" i="19"/>
  <c r="I43" i="19"/>
  <c r="K27" i="19"/>
  <c r="J29" i="19"/>
  <c r="J30" i="19"/>
  <c r="J46" i="19" s="1"/>
  <c r="L22" i="19"/>
  <c r="K25" i="19"/>
  <c r="K24" i="19"/>
  <c r="I45" i="19" l="1"/>
  <c r="AS56" i="1"/>
  <c r="M38" i="19"/>
  <c r="L40" i="19"/>
  <c r="L36" i="19"/>
  <c r="M35" i="19"/>
  <c r="L33" i="19"/>
  <c r="M32" i="19"/>
  <c r="L14" i="19"/>
  <c r="M10" i="19"/>
  <c r="L15" i="19"/>
  <c r="J43" i="19"/>
  <c r="K29" i="19"/>
  <c r="L27" i="19"/>
  <c r="K30" i="19"/>
  <c r="K46" i="19" s="1"/>
  <c r="M22" i="19"/>
  <c r="L24" i="19"/>
  <c r="L25" i="19"/>
  <c r="L19" i="19"/>
  <c r="M17" i="19"/>
  <c r="L20" i="19"/>
  <c r="J45" i="19" l="1"/>
  <c r="AT56" i="1"/>
  <c r="N38" i="19"/>
  <c r="M40" i="19"/>
  <c r="N35" i="19"/>
  <c r="M36" i="19"/>
  <c r="N32" i="19"/>
  <c r="M33" i="19"/>
  <c r="N10" i="19"/>
  <c r="M14" i="19"/>
  <c r="M15" i="19"/>
  <c r="M27" i="19"/>
  <c r="L29" i="19"/>
  <c r="L30" i="19"/>
  <c r="L46" i="19" s="1"/>
  <c r="M19" i="19"/>
  <c r="N17" i="19"/>
  <c r="M20" i="19"/>
  <c r="M24" i="19"/>
  <c r="M25" i="19"/>
  <c r="N22" i="19"/>
  <c r="K43" i="19"/>
  <c r="K45" i="19" l="1"/>
  <c r="AU56" i="1"/>
  <c r="N40" i="19"/>
  <c r="O38" i="19"/>
  <c r="O35" i="19"/>
  <c r="N36" i="19"/>
  <c r="N33" i="19"/>
  <c r="O32" i="19"/>
  <c r="N14" i="19"/>
  <c r="O10" i="19"/>
  <c r="N15" i="19"/>
  <c r="N24" i="19"/>
  <c r="N25" i="19"/>
  <c r="O22" i="19"/>
  <c r="L43" i="19"/>
  <c r="O17" i="19"/>
  <c r="N19" i="19"/>
  <c r="N20" i="19"/>
  <c r="N27" i="19"/>
  <c r="M29" i="19"/>
  <c r="M30" i="19"/>
  <c r="M46" i="19" s="1"/>
  <c r="L45" i="19" l="1"/>
  <c r="AV56" i="1"/>
  <c r="O40" i="19"/>
  <c r="P38" i="19"/>
  <c r="P35" i="19"/>
  <c r="O36" i="19"/>
  <c r="O33" i="19"/>
  <c r="P32" i="19"/>
  <c r="P10" i="19"/>
  <c r="O14" i="19"/>
  <c r="O15" i="19"/>
  <c r="M43" i="19"/>
  <c r="O27" i="19"/>
  <c r="N29" i="19"/>
  <c r="N30" i="19"/>
  <c r="N46" i="19" s="1"/>
  <c r="P17" i="19"/>
  <c r="O19" i="19"/>
  <c r="O20" i="19"/>
  <c r="O24" i="19"/>
  <c r="O25" i="19"/>
  <c r="P22" i="19"/>
  <c r="M45" i="19" l="1"/>
  <c r="AY56" i="1"/>
  <c r="P40" i="19"/>
  <c r="Q38" i="19"/>
  <c r="P36" i="19"/>
  <c r="Q35" i="19"/>
  <c r="P33" i="19"/>
  <c r="Q32" i="19"/>
  <c r="P14" i="19"/>
  <c r="Q10" i="19"/>
  <c r="P15" i="19"/>
  <c r="N43" i="19"/>
  <c r="P24" i="19"/>
  <c r="P25" i="19"/>
  <c r="Q22" i="19"/>
  <c r="O30" i="19"/>
  <c r="O46" i="19" s="1"/>
  <c r="P27" i="19"/>
  <c r="O29" i="19"/>
  <c r="P20" i="19"/>
  <c r="Q17" i="19"/>
  <c r="P19" i="19"/>
  <c r="N45" i="19" l="1"/>
  <c r="AZ56" i="1"/>
  <c r="Q40" i="19"/>
  <c r="R38" i="19"/>
  <c r="R35" i="19"/>
  <c r="Q36" i="19"/>
  <c r="Q33" i="19"/>
  <c r="R32" i="19"/>
  <c r="Q15" i="19"/>
  <c r="Q14" i="19"/>
  <c r="R10" i="19"/>
  <c r="Q20" i="19"/>
  <c r="R17" i="19"/>
  <c r="Q19" i="19"/>
  <c r="O43" i="19"/>
  <c r="P30" i="19"/>
  <c r="P46" i="19" s="1"/>
  <c r="Q27" i="19"/>
  <c r="P29" i="19"/>
  <c r="Q24" i="19"/>
  <c r="Q25" i="19"/>
  <c r="R22" i="19"/>
  <c r="O45" i="19" l="1"/>
  <c r="BA56" i="1"/>
  <c r="S38" i="19"/>
  <c r="R40" i="19"/>
  <c r="S35" i="19"/>
  <c r="R36" i="19"/>
  <c r="R33" i="19"/>
  <c r="S32" i="19"/>
  <c r="R14" i="19"/>
  <c r="S10" i="19"/>
  <c r="R15" i="19"/>
  <c r="S22" i="19"/>
  <c r="R25" i="19"/>
  <c r="R24" i="19"/>
  <c r="P43" i="19"/>
  <c r="Q29" i="19"/>
  <c r="R27" i="19"/>
  <c r="Q30" i="19"/>
  <c r="Q46" i="19" s="1"/>
  <c r="R20" i="19"/>
  <c r="S17" i="19"/>
  <c r="R19" i="19"/>
  <c r="P45" i="19" l="1"/>
  <c r="BB56" i="1"/>
  <c r="T38" i="19"/>
  <c r="T40" i="19" s="1"/>
  <c r="S40" i="19"/>
  <c r="S36" i="19"/>
  <c r="T35" i="19"/>
  <c r="T36" i="19" s="1"/>
  <c r="T32" i="19"/>
  <c r="S33" i="19"/>
  <c r="T10" i="19"/>
  <c r="S15" i="19"/>
  <c r="S14" i="19"/>
  <c r="Q43" i="19"/>
  <c r="S27" i="19"/>
  <c r="R29" i="19"/>
  <c r="R30" i="19"/>
  <c r="R46" i="19" s="1"/>
  <c r="S20" i="19"/>
  <c r="T17" i="19"/>
  <c r="S19" i="19"/>
  <c r="S25" i="19"/>
  <c r="T22" i="19"/>
  <c r="S24" i="19"/>
  <c r="Q45" i="19" l="1"/>
  <c r="BE56" i="1"/>
  <c r="T33" i="19"/>
  <c r="T14" i="19"/>
  <c r="T15" i="19"/>
  <c r="T25" i="19"/>
  <c r="T24" i="19"/>
  <c r="T19" i="19"/>
  <c r="T20" i="19"/>
  <c r="R43" i="19"/>
  <c r="S29" i="19"/>
  <c r="S30" i="19"/>
  <c r="S46" i="19" s="1"/>
  <c r="T27" i="19"/>
  <c r="R45" i="19" l="1"/>
  <c r="BF56" i="1"/>
  <c r="T29" i="19"/>
  <c r="T30" i="19"/>
  <c r="T46" i="19" s="1"/>
  <c r="S43" i="19"/>
  <c r="S45" i="19" l="1"/>
  <c r="BG56" i="1"/>
  <c r="T43" i="19"/>
  <c r="T45" i="19" l="1"/>
  <c r="BH56" i="1"/>
  <c r="I8" i="7"/>
  <c r="G8" i="7"/>
  <c r="F8" i="7"/>
  <c r="E8" i="7"/>
  <c r="D8" i="7"/>
  <c r="F32" i="17"/>
  <c r="E32" i="17"/>
  <c r="D32" i="17"/>
  <c r="C32" i="17"/>
  <c r="C31" i="17" s="1"/>
  <c r="B32" i="17"/>
  <c r="B31" i="17" s="1"/>
  <c r="F31" i="17"/>
  <c r="K4" i="17" s="1"/>
  <c r="E31" i="17"/>
  <c r="D31" i="17"/>
  <c r="F29" i="17"/>
  <c r="B4" i="17" s="1"/>
  <c r="C4" i="17" s="1"/>
  <c r="E29" i="17"/>
  <c r="D29" i="17"/>
  <c r="C29" i="17"/>
  <c r="B29" i="17"/>
  <c r="B10" i="17"/>
  <c r="C10" i="17" s="1"/>
  <c r="D10" i="17" s="1"/>
  <c r="B8" i="17"/>
  <c r="C8" i="17" s="1"/>
  <c r="D8" i="17" s="1"/>
  <c r="B7" i="17"/>
  <c r="C7" i="17" s="1"/>
  <c r="D7" i="17" s="1"/>
  <c r="I17" i="9"/>
  <c r="G17" i="9"/>
  <c r="S14" i="9"/>
  <c r="J4" i="17" l="1"/>
  <c r="B20" i="17"/>
  <c r="C20" i="17" s="1"/>
  <c r="D20" i="17" s="1"/>
  <c r="D4" i="17"/>
  <c r="H4" i="17"/>
  <c r="B17" i="17"/>
  <c r="C17" i="17" s="1"/>
  <c r="D17" i="17" s="1"/>
  <c r="B18" i="17"/>
  <c r="C18" i="17" s="1"/>
  <c r="D18" i="17" s="1"/>
  <c r="G4" i="17"/>
  <c r="I4" i="17"/>
  <c r="D5" i="17" l="1"/>
  <c r="D6" i="17" s="1"/>
  <c r="D9" i="17" s="1"/>
  <c r="D11" i="17" s="1"/>
  <c r="I9" i="17" s="1"/>
  <c r="C5" i="17"/>
  <c r="C6" i="17" s="1"/>
  <c r="C9" i="17" s="1"/>
  <c r="C11" i="17" s="1"/>
  <c r="H9" i="17" s="1"/>
  <c r="B5" i="17"/>
  <c r="B6" i="17" s="1"/>
  <c r="B9" i="17" s="1"/>
  <c r="B11" i="17" s="1"/>
  <c r="G9" i="17" s="1"/>
  <c r="AH82" i="1" l="1"/>
  <c r="AH87" i="1"/>
  <c r="AH88" i="1" s="1"/>
  <c r="AH81" i="1"/>
  <c r="AH83" i="1" s="1"/>
  <c r="AH77" i="1"/>
  <c r="AH76" i="1"/>
  <c r="AH75" i="1"/>
  <c r="L58" i="16" l="1"/>
  <c r="K58" i="16"/>
  <c r="J58" i="16"/>
  <c r="I58" i="16"/>
  <c r="H58" i="16"/>
  <c r="I56" i="16"/>
  <c r="H56" i="16"/>
  <c r="G56" i="16"/>
  <c r="E56" i="16"/>
  <c r="L55" i="16"/>
  <c r="K55" i="16"/>
  <c r="J55" i="16"/>
  <c r="I55" i="16"/>
  <c r="H55" i="16"/>
  <c r="G55" i="16"/>
  <c r="F55" i="16"/>
  <c r="D55" i="16"/>
  <c r="L54" i="16"/>
  <c r="J54" i="16"/>
  <c r="I54" i="16"/>
  <c r="H54" i="16"/>
  <c r="G54" i="16"/>
  <c r="F54" i="16"/>
  <c r="D54" i="16"/>
  <c r="L53" i="16"/>
  <c r="L17" i="16" s="1"/>
  <c r="K53" i="16"/>
  <c r="K17" i="16" s="1"/>
  <c r="J53" i="16"/>
  <c r="I53" i="16"/>
  <c r="H53" i="16"/>
  <c r="G53" i="16"/>
  <c r="F53" i="16"/>
  <c r="L52" i="16"/>
  <c r="L27" i="16" s="1"/>
  <c r="K52" i="16"/>
  <c r="K27" i="16" s="1"/>
  <c r="J52" i="16"/>
  <c r="J27" i="16" s="1"/>
  <c r="I52" i="16"/>
  <c r="I27" i="16" s="1"/>
  <c r="H52" i="16"/>
  <c r="H27" i="16" s="1"/>
  <c r="G52" i="16"/>
  <c r="G27" i="16" s="1"/>
  <c r="F52" i="16"/>
  <c r="F28" i="16" s="1"/>
  <c r="L51" i="16"/>
  <c r="L56" i="16" s="1"/>
  <c r="K51" i="16"/>
  <c r="K56" i="16" s="1"/>
  <c r="J51" i="16"/>
  <c r="J56" i="16" s="1"/>
  <c r="I51" i="16"/>
  <c r="H51" i="16"/>
  <c r="H26" i="16" s="1"/>
  <c r="G51" i="16"/>
  <c r="G26" i="16" s="1"/>
  <c r="F51" i="16"/>
  <c r="F56" i="16" s="1"/>
  <c r="G50" i="16"/>
  <c r="F50" i="16"/>
  <c r="L49" i="16"/>
  <c r="L59" i="16" s="1"/>
  <c r="K49" i="16"/>
  <c r="K59" i="16" s="1"/>
  <c r="J49" i="16"/>
  <c r="J24" i="16" s="1"/>
  <c r="I49" i="16"/>
  <c r="I24" i="16" s="1"/>
  <c r="H49" i="16"/>
  <c r="H24" i="16" s="1"/>
  <c r="G49" i="16"/>
  <c r="G24" i="16" s="1"/>
  <c r="F49" i="16"/>
  <c r="F24" i="16" s="1"/>
  <c r="Q24" i="16" s="1"/>
  <c r="D49" i="16"/>
  <c r="L45" i="16"/>
  <c r="L18" i="16" s="1"/>
  <c r="K45" i="16"/>
  <c r="K18" i="16" s="1"/>
  <c r="J45" i="16"/>
  <c r="I45" i="16"/>
  <c r="H45" i="16"/>
  <c r="G45" i="16"/>
  <c r="G18" i="16" s="1"/>
  <c r="D44" i="16"/>
  <c r="L42" i="16"/>
  <c r="K42" i="16"/>
  <c r="K20" i="16" s="1"/>
  <c r="J42" i="16"/>
  <c r="J20" i="16" s="1"/>
  <c r="I42" i="16"/>
  <c r="I20" i="16" s="1"/>
  <c r="H42" i="16"/>
  <c r="H20" i="16" s="1"/>
  <c r="G42" i="16"/>
  <c r="G20" i="16" s="1"/>
  <c r="F42" i="16"/>
  <c r="F45" i="16" s="1"/>
  <c r="F18" i="16" s="1"/>
  <c r="E42" i="16"/>
  <c r="E45" i="16" s="1"/>
  <c r="D41" i="16"/>
  <c r="D40" i="16"/>
  <c r="D14" i="16" s="1"/>
  <c r="L36" i="16"/>
  <c r="K36" i="16"/>
  <c r="J36" i="16"/>
  <c r="I36" i="16"/>
  <c r="H36" i="16"/>
  <c r="G36" i="16"/>
  <c r="F36" i="16"/>
  <c r="L35" i="16"/>
  <c r="K35" i="16"/>
  <c r="J35" i="16"/>
  <c r="I35" i="16"/>
  <c r="H35" i="16"/>
  <c r="G35" i="16"/>
  <c r="F35" i="16"/>
  <c r="L34" i="16"/>
  <c r="Q32" i="16"/>
  <c r="K32" i="16"/>
  <c r="J32" i="16"/>
  <c r="I32" i="16"/>
  <c r="H32" i="16"/>
  <c r="L28" i="16"/>
  <c r="K28" i="16"/>
  <c r="J28" i="16"/>
  <c r="I28" i="16"/>
  <c r="H28" i="16"/>
  <c r="G28" i="16"/>
  <c r="L26" i="16"/>
  <c r="K26" i="16"/>
  <c r="J26" i="16"/>
  <c r="I26" i="16"/>
  <c r="L24" i="16"/>
  <c r="K24" i="16"/>
  <c r="L20" i="16"/>
  <c r="J17" i="16"/>
  <c r="I17" i="16"/>
  <c r="H17" i="16"/>
  <c r="G17" i="16"/>
  <c r="F17" i="16"/>
  <c r="L15" i="16"/>
  <c r="K15" i="16"/>
  <c r="J15" i="16"/>
  <c r="I15" i="16"/>
  <c r="H15" i="16"/>
  <c r="G15" i="16"/>
  <c r="F15" i="16"/>
  <c r="L14" i="16"/>
  <c r="L21" i="16" s="1"/>
  <c r="K14" i="16"/>
  <c r="K21" i="16" s="1"/>
  <c r="J14" i="16"/>
  <c r="J21" i="16" s="1"/>
  <c r="I14" i="16"/>
  <c r="I21" i="16" s="1"/>
  <c r="H14" i="16"/>
  <c r="H21" i="16" s="1"/>
  <c r="G14" i="16"/>
  <c r="G21" i="16" s="1"/>
  <c r="F14" i="16"/>
  <c r="F21" i="16" s="1"/>
  <c r="L12" i="16"/>
  <c r="K12" i="16"/>
  <c r="J12" i="16"/>
  <c r="H12" i="16"/>
  <c r="F32" i="16" l="1"/>
  <c r="F34" i="16"/>
  <c r="F31" i="16"/>
  <c r="F33" i="16"/>
  <c r="F25" i="16"/>
  <c r="I18" i="16"/>
  <c r="I19" i="16"/>
  <c r="J18" i="16"/>
  <c r="J22" i="16"/>
  <c r="J19" i="16"/>
  <c r="J31" i="16"/>
  <c r="J33" i="16"/>
  <c r="J25" i="16"/>
  <c r="K31" i="16"/>
  <c r="K33" i="16"/>
  <c r="K25" i="16"/>
  <c r="J34" i="16"/>
  <c r="L31" i="16"/>
  <c r="L33" i="16"/>
  <c r="L25" i="16"/>
  <c r="L32" i="16"/>
  <c r="P24" i="16"/>
  <c r="P17" i="16"/>
  <c r="Q17" i="16"/>
  <c r="O17" i="16"/>
  <c r="Q18" i="16"/>
  <c r="F19" i="16"/>
  <c r="G32" i="16"/>
  <c r="G34" i="16"/>
  <c r="G31" i="16"/>
  <c r="G33" i="16"/>
  <c r="G25" i="16"/>
  <c r="G19" i="16"/>
  <c r="H34" i="16"/>
  <c r="H31" i="16"/>
  <c r="H33" i="16"/>
  <c r="H25" i="16"/>
  <c r="I34" i="16"/>
  <c r="I31" i="16"/>
  <c r="I33" i="16"/>
  <c r="I25" i="16"/>
  <c r="H18" i="16"/>
  <c r="P18" i="16" s="1"/>
  <c r="H19" i="16"/>
  <c r="O24" i="16"/>
  <c r="D42" i="16"/>
  <c r="Q28" i="16"/>
  <c r="P28" i="16"/>
  <c r="O28" i="16"/>
  <c r="K19" i="16"/>
  <c r="L19" i="16"/>
  <c r="F27" i="16"/>
  <c r="F12" i="16"/>
  <c r="I12" i="16"/>
  <c r="K22" i="16"/>
  <c r="F20" i="16"/>
  <c r="L22" i="16"/>
  <c r="H59" i="16"/>
  <c r="I59" i="16"/>
  <c r="F26" i="16"/>
  <c r="J59" i="16"/>
  <c r="D20" i="16" l="1"/>
  <c r="D12" i="16"/>
  <c r="Q19" i="16"/>
  <c r="P19" i="16"/>
  <c r="O19" i="16"/>
  <c r="O18" i="16"/>
  <c r="O20" i="16"/>
  <c r="Q20" i="16"/>
  <c r="P20" i="16"/>
  <c r="Q26" i="16"/>
  <c r="P26" i="16"/>
  <c r="O26" i="16"/>
  <c r="Q25" i="16"/>
  <c r="P25" i="16"/>
  <c r="O25" i="16"/>
  <c r="Q27" i="16"/>
  <c r="O27" i="16"/>
  <c r="P27" i="16"/>
  <c r="J52" i="14" l="1"/>
  <c r="J51" i="14"/>
  <c r="J49" i="14"/>
  <c r="J50" i="14"/>
  <c r="J17" i="14" s="1"/>
  <c r="J48" i="14"/>
  <c r="J47" i="14"/>
  <c r="J46" i="14"/>
  <c r="G52" i="14"/>
  <c r="G51" i="14"/>
  <c r="G50" i="14"/>
  <c r="G17" i="14" s="1"/>
  <c r="G49" i="14"/>
  <c r="G48" i="14"/>
  <c r="G47" i="14"/>
  <c r="G46" i="14"/>
  <c r="J23" i="14" l="1"/>
  <c r="J27" i="14"/>
  <c r="J26" i="14"/>
  <c r="J25" i="14"/>
  <c r="G26" i="14"/>
  <c r="G27" i="14"/>
  <c r="G23" i="14"/>
  <c r="G25" i="14"/>
  <c r="F70" i="11"/>
  <c r="G53" i="14"/>
  <c r="G39" i="14"/>
  <c r="G20" i="14" s="1"/>
  <c r="J53" i="14"/>
  <c r="J24" i="14" s="1"/>
  <c r="J39" i="14"/>
  <c r="J20" i="14" s="1"/>
  <c r="J20" i="9"/>
  <c r="J17" i="9"/>
  <c r="J16" i="9"/>
  <c r="J15" i="9"/>
  <c r="J13" i="9"/>
  <c r="I20" i="9"/>
  <c r="I16" i="9"/>
  <c r="I15" i="9"/>
  <c r="I13" i="9"/>
  <c r="I12" i="9"/>
  <c r="H20" i="9"/>
  <c r="H17" i="9"/>
  <c r="H16" i="9"/>
  <c r="H15" i="9"/>
  <c r="H13" i="9"/>
  <c r="H12" i="9"/>
  <c r="H14" i="9" s="1"/>
  <c r="G20" i="9"/>
  <c r="G16" i="9"/>
  <c r="G15" i="9"/>
  <c r="G13" i="9"/>
  <c r="G12" i="9"/>
  <c r="F20" i="9"/>
  <c r="F17" i="9"/>
  <c r="F16" i="9"/>
  <c r="F15" i="9"/>
  <c r="F13" i="9"/>
  <c r="F12" i="9"/>
  <c r="F14" i="9" s="1"/>
  <c r="E20" i="9"/>
  <c r="E17" i="9"/>
  <c r="E16" i="9"/>
  <c r="E15" i="9"/>
  <c r="E13" i="9"/>
  <c r="E12" i="9"/>
  <c r="J12" i="9"/>
  <c r="C10" i="15"/>
  <c r="F5" i="15"/>
  <c r="H5" i="15" s="1"/>
  <c r="I5" i="15" s="1"/>
  <c r="J5" i="15" s="1"/>
  <c r="K5" i="15" s="1"/>
  <c r="M5" i="15" s="1"/>
  <c r="N5" i="15" s="1"/>
  <c r="O5" i="15" s="1"/>
  <c r="P5" i="15" s="1"/>
  <c r="R5" i="15" s="1"/>
  <c r="S5" i="15" s="1"/>
  <c r="T5" i="15" s="1"/>
  <c r="U5" i="15" s="1"/>
  <c r="W5" i="15" s="1"/>
  <c r="X5" i="15" s="1"/>
  <c r="Y5" i="15" s="1"/>
  <c r="Z5" i="15" s="1"/>
  <c r="H2" i="15"/>
  <c r="M2" i="15" s="1"/>
  <c r="R2" i="15" s="1"/>
  <c r="W2" i="15" s="1"/>
  <c r="J32" i="14" l="1"/>
  <c r="J29" i="14"/>
  <c r="J30" i="14"/>
  <c r="J31" i="14"/>
  <c r="J12" i="14"/>
  <c r="E70" i="11" s="1"/>
  <c r="G24" i="14"/>
  <c r="G29" i="14"/>
  <c r="G30" i="14"/>
  <c r="G31" i="14"/>
  <c r="G32" i="14"/>
  <c r="G12" i="14"/>
  <c r="E69" i="11" s="1"/>
  <c r="H9" i="9"/>
  <c r="F9" i="9"/>
  <c r="G14" i="9"/>
  <c r="G9" i="9" s="1"/>
  <c r="F69" i="11"/>
  <c r="I14" i="9"/>
  <c r="I9" i="9" s="1"/>
  <c r="G42" i="14"/>
  <c r="J42" i="14"/>
  <c r="E14" i="9"/>
  <c r="E9" i="9" s="1"/>
  <c r="H18" i="9"/>
  <c r="H8" i="9" s="1"/>
  <c r="J14" i="9"/>
  <c r="E18" i="9"/>
  <c r="E8" i="9" s="1"/>
  <c r="F18" i="9"/>
  <c r="F8" i="9" s="1"/>
  <c r="G18" i="14" l="1"/>
  <c r="G19" i="14"/>
  <c r="J18" i="14"/>
  <c r="G70" i="11" s="1"/>
  <c r="J19" i="14"/>
  <c r="G18" i="9"/>
  <c r="G8" i="9" s="1"/>
  <c r="I18" i="9"/>
  <c r="I8" i="9" s="1"/>
  <c r="J18" i="9"/>
  <c r="J8" i="9" s="1"/>
  <c r="J9" i="9"/>
  <c r="H70" i="11"/>
  <c r="G69" i="11"/>
  <c r="I59" i="18"/>
  <c r="K59" i="18"/>
  <c r="L59" i="18"/>
  <c r="H59" i="18"/>
  <c r="J59" i="18"/>
  <c r="H69" i="11" l="1"/>
  <c r="Q31" i="14"/>
  <c r="E39" i="14" l="1"/>
  <c r="E42" i="14" s="1"/>
  <c r="E53" i="14"/>
  <c r="D51" i="14"/>
  <c r="K51" i="14"/>
  <c r="K48" i="14"/>
  <c r="K46" i="14"/>
  <c r="K23" i="14" s="1"/>
  <c r="K52" i="14"/>
  <c r="K50" i="14"/>
  <c r="K17" i="14" s="1"/>
  <c r="K49" i="14"/>
  <c r="D52" i="14"/>
  <c r="D46" i="14"/>
  <c r="D41" i="14"/>
  <c r="P23" i="14" l="1"/>
  <c r="Q23" i="14"/>
  <c r="K27" i="14"/>
  <c r="K26" i="14"/>
  <c r="K25" i="14"/>
  <c r="P26" i="14" l="1"/>
  <c r="Q26" i="14"/>
  <c r="O26" i="14"/>
  <c r="O25" i="14"/>
  <c r="Q25" i="14"/>
  <c r="P25" i="14"/>
  <c r="P27" i="14"/>
  <c r="O27" i="14"/>
  <c r="Q27" i="14"/>
  <c r="F71" i="11"/>
  <c r="Q17" i="14"/>
  <c r="P17" i="14"/>
  <c r="O17" i="14"/>
  <c r="D38" i="14"/>
  <c r="D37" i="14"/>
  <c r="K53" i="14"/>
  <c r="K39" i="14"/>
  <c r="K20" i="14" s="1"/>
  <c r="K24" i="14" l="1"/>
  <c r="K31" i="14"/>
  <c r="K32" i="14"/>
  <c r="K29" i="14"/>
  <c r="K30" i="14"/>
  <c r="K12" i="14"/>
  <c r="E71" i="11" s="1"/>
  <c r="Q20" i="14"/>
  <c r="P20" i="14"/>
  <c r="O20" i="14"/>
  <c r="O23" i="14"/>
  <c r="K42" i="14"/>
  <c r="D39" i="14"/>
  <c r="D20" i="14" s="1"/>
  <c r="D14" i="14"/>
  <c r="Q24" i="14" l="1"/>
  <c r="P24" i="14"/>
  <c r="O24" i="14"/>
  <c r="K18" i="14"/>
  <c r="P18" i="14" s="1"/>
  <c r="K19" i="14"/>
  <c r="D12" i="14"/>
  <c r="Q18" i="14" l="1"/>
  <c r="O18" i="14"/>
  <c r="H71" i="11"/>
  <c r="P19" i="14"/>
  <c r="O19" i="14"/>
  <c r="Q19" i="14"/>
  <c r="G71" i="11"/>
  <c r="AI87" i="1"/>
  <c r="AD6" i="7" l="1"/>
  <c r="AC6" i="7"/>
  <c r="AE6" i="7"/>
  <c r="AF6" i="7"/>
  <c r="H12" i="11"/>
  <c r="H15" i="11"/>
  <c r="H17" i="11"/>
  <c r="AA16" i="7" l="1"/>
  <c r="J9" i="7"/>
  <c r="I9" i="7"/>
  <c r="H11" i="10" l="1"/>
  <c r="G11" i="10"/>
  <c r="F11" i="10"/>
  <c r="E11" i="10"/>
  <c r="D11" i="10"/>
  <c r="H9" i="10" l="1"/>
  <c r="G9" i="10"/>
  <c r="F9" i="10"/>
  <c r="E9" i="10"/>
  <c r="D9" i="10"/>
  <c r="E34" i="10"/>
  <c r="D34" i="10" s="1"/>
  <c r="G34" i="10"/>
  <c r="H34" i="10" s="1"/>
  <c r="C36" i="10"/>
  <c r="C35" i="10" s="1"/>
  <c r="C38" i="10"/>
  <c r="C39" i="10" s="1"/>
  <c r="N27" i="10"/>
  <c r="L14" i="10"/>
  <c r="M14" i="10" s="1"/>
  <c r="N14" i="10" s="1"/>
  <c r="N23" i="10" l="1"/>
  <c r="D25" i="10" s="1"/>
  <c r="AI108" i="1"/>
  <c r="AI107" i="1"/>
  <c r="N28" i="10" l="1"/>
  <c r="N29" i="10" s="1"/>
  <c r="I23" i="10" s="1"/>
  <c r="I20" i="10" s="1"/>
  <c r="D103" i="1" l="1"/>
  <c r="E103" i="1"/>
  <c r="F103" i="1"/>
  <c r="G103" i="1"/>
  <c r="I103" i="1"/>
  <c r="J103" i="1"/>
  <c r="K103" i="1"/>
  <c r="L103" i="1"/>
  <c r="M103" i="1"/>
  <c r="O103" i="1"/>
  <c r="P103" i="1"/>
  <c r="Q103" i="1"/>
  <c r="R103" i="1"/>
  <c r="S103" i="1"/>
  <c r="U103" i="1"/>
  <c r="V103" i="1"/>
  <c r="W103" i="1"/>
  <c r="X103" i="1"/>
  <c r="Y103" i="1"/>
  <c r="AA103" i="1"/>
  <c r="AB103" i="1"/>
  <c r="AC103" i="1"/>
  <c r="AD103" i="1"/>
  <c r="AE103" i="1"/>
  <c r="AG103" i="1"/>
  <c r="AH103" i="1"/>
  <c r="C103" i="1"/>
  <c r="AE104" i="1" l="1"/>
  <c r="H10" i="10" s="1"/>
  <c r="S104" i="1"/>
  <c r="F10" i="10" s="1"/>
  <c r="Y104" i="1"/>
  <c r="G10" i="10" s="1"/>
  <c r="M104" i="1"/>
  <c r="E10" i="10" s="1"/>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5" i="8"/>
  <c r="L3" i="8" s="1"/>
  <c r="J6" i="7"/>
  <c r="I6" i="7"/>
  <c r="C19" i="7" s="1"/>
  <c r="C17" i="7"/>
  <c r="E9" i="7"/>
  <c r="F9" i="7"/>
  <c r="G9" i="7"/>
  <c r="D9" i="7"/>
  <c r="F6" i="7"/>
  <c r="G6" i="7"/>
  <c r="E6" i="7"/>
  <c r="D6" i="7"/>
  <c r="L6" i="8" l="1"/>
  <c r="H19" i="11"/>
  <c r="I25" i="10"/>
  <c r="I24" i="10" s="1"/>
  <c r="F7" i="7"/>
  <c r="G7" i="7"/>
  <c r="E7" i="7"/>
  <c r="D7" i="7"/>
  <c r="J7" i="7" l="1"/>
  <c r="I7" i="7" l="1"/>
  <c r="C22" i="7"/>
  <c r="K6" i="7" l="1"/>
  <c r="O6" i="7"/>
  <c r="Q6" i="7"/>
  <c r="P6" i="7"/>
  <c r="N6" i="7"/>
  <c r="L6" i="7"/>
  <c r="AI64" i="1"/>
  <c r="AJ64" i="1" s="1"/>
  <c r="AI61" i="1"/>
  <c r="AJ61" i="1" s="1"/>
  <c r="AK61" i="1" s="1"/>
  <c r="AM61" i="1" s="1"/>
  <c r="AN61" i="1" s="1"/>
  <c r="AO61" i="1" s="1"/>
  <c r="AP61" i="1" s="1"/>
  <c r="AQ61" i="1" s="1"/>
  <c r="AS61" i="1" s="1"/>
  <c r="AT61" i="1" s="1"/>
  <c r="AU61" i="1" s="1"/>
  <c r="AV61" i="1" s="1"/>
  <c r="AW61" i="1" s="1"/>
  <c r="AY61" i="1" s="1"/>
  <c r="AZ61" i="1" s="1"/>
  <c r="BA61" i="1" s="1"/>
  <c r="BB61" i="1" s="1"/>
  <c r="BC61" i="1" s="1"/>
  <c r="BE61" i="1" s="1"/>
  <c r="BF61" i="1" s="1"/>
  <c r="BG61" i="1" s="1"/>
  <c r="BH61" i="1" s="1"/>
  <c r="BI61" i="1" s="1"/>
  <c r="AI60" i="1"/>
  <c r="AJ60" i="1" s="1"/>
  <c r="AK60" i="1" s="1"/>
  <c r="AM60" i="1" s="1"/>
  <c r="AN60" i="1" s="1"/>
  <c r="AO60" i="1" s="1"/>
  <c r="AP60" i="1" s="1"/>
  <c r="AQ60" i="1" s="1"/>
  <c r="AS60" i="1" s="1"/>
  <c r="AT60" i="1" s="1"/>
  <c r="AU60" i="1" s="1"/>
  <c r="AV60" i="1" s="1"/>
  <c r="AW60" i="1" s="1"/>
  <c r="AY60" i="1" s="1"/>
  <c r="AZ60" i="1" s="1"/>
  <c r="BA60" i="1" s="1"/>
  <c r="BB60" i="1" s="1"/>
  <c r="BC60" i="1" s="1"/>
  <c r="BE60" i="1" s="1"/>
  <c r="BF60" i="1" s="1"/>
  <c r="BG60" i="1" s="1"/>
  <c r="BH60" i="1" s="1"/>
  <c r="BI60" i="1" s="1"/>
  <c r="AI58" i="1"/>
  <c r="AJ58" i="1" s="1"/>
  <c r="AK58" i="1" s="1"/>
  <c r="AM58" i="1" s="1"/>
  <c r="AN58" i="1" s="1"/>
  <c r="AO58" i="1" s="1"/>
  <c r="AP58" i="1" s="1"/>
  <c r="AQ58" i="1" s="1"/>
  <c r="AS58" i="1" s="1"/>
  <c r="AT58" i="1" s="1"/>
  <c r="AU58" i="1" s="1"/>
  <c r="AV58" i="1" s="1"/>
  <c r="AW58" i="1" s="1"/>
  <c r="AY58" i="1" s="1"/>
  <c r="AZ58" i="1" s="1"/>
  <c r="BA58" i="1" s="1"/>
  <c r="BB58" i="1" s="1"/>
  <c r="BC58" i="1" s="1"/>
  <c r="BE58" i="1" s="1"/>
  <c r="BF58" i="1" s="1"/>
  <c r="BG58" i="1" s="1"/>
  <c r="BH58" i="1" s="1"/>
  <c r="BI58" i="1" s="1"/>
  <c r="AI55" i="1"/>
  <c r="AI54" i="1"/>
  <c r="AI53" i="1"/>
  <c r="BF46" i="1"/>
  <c r="BG46" i="1" s="1"/>
  <c r="BH46" i="1" s="1"/>
  <c r="BI46" i="1" s="1"/>
  <c r="AZ46" i="1"/>
  <c r="BA46" i="1" s="1"/>
  <c r="BB46" i="1" s="1"/>
  <c r="BC46" i="1" s="1"/>
  <c r="AT46" i="1"/>
  <c r="AU46" i="1" s="1"/>
  <c r="AV46" i="1" s="1"/>
  <c r="AW46" i="1" s="1"/>
  <c r="AN46" i="1"/>
  <c r="AO46" i="1" s="1"/>
  <c r="AP46" i="1" s="1"/>
  <c r="AQ46" i="1" s="1"/>
  <c r="AI51" i="1"/>
  <c r="AJ51" i="1" s="1"/>
  <c r="AI48" i="1"/>
  <c r="BG47" i="1"/>
  <c r="BH47" i="1" s="1"/>
  <c r="BI47" i="1" s="1"/>
  <c r="BA47" i="1"/>
  <c r="BB47" i="1" s="1"/>
  <c r="BC47" i="1" s="1"/>
  <c r="AU47" i="1"/>
  <c r="AV47" i="1" s="1"/>
  <c r="AW47" i="1" s="1"/>
  <c r="AO47" i="1"/>
  <c r="AP47" i="1" s="1"/>
  <c r="AQ47" i="1" s="1"/>
  <c r="AI47" i="1"/>
  <c r="AI46" i="1"/>
  <c r="AI45" i="1"/>
  <c r="AI44" i="1"/>
  <c r="D115" i="1"/>
  <c r="E115" i="1"/>
  <c r="F115" i="1"/>
  <c r="G115" i="1"/>
  <c r="I115" i="1"/>
  <c r="J115" i="1"/>
  <c r="K115" i="1"/>
  <c r="L115" i="1"/>
  <c r="M115" i="1"/>
  <c r="O115" i="1"/>
  <c r="P115" i="1"/>
  <c r="Q115" i="1"/>
  <c r="R115" i="1"/>
  <c r="S115" i="1"/>
  <c r="U115" i="1"/>
  <c r="V115" i="1"/>
  <c r="W115" i="1"/>
  <c r="X115" i="1"/>
  <c r="Y115" i="1"/>
  <c r="AA115" i="1"/>
  <c r="AB115" i="1"/>
  <c r="AC115" i="1"/>
  <c r="AD115" i="1"/>
  <c r="AE115" i="1"/>
  <c r="AG115" i="1"/>
  <c r="AH115" i="1"/>
  <c r="BI37" i="1"/>
  <c r="BI39" i="1"/>
  <c r="BI40" i="1"/>
  <c r="BI43" i="1"/>
  <c r="BI63" i="1"/>
  <c r="BC37" i="1"/>
  <c r="BC39" i="1"/>
  <c r="BC40" i="1"/>
  <c r="BC43" i="1"/>
  <c r="BC50" i="1"/>
  <c r="BC63" i="1"/>
  <c r="AW37" i="1"/>
  <c r="AW39" i="1"/>
  <c r="AW40" i="1"/>
  <c r="AW43" i="1"/>
  <c r="AW50" i="1"/>
  <c r="AW63" i="1"/>
  <c r="AQ37" i="1"/>
  <c r="AQ39" i="1"/>
  <c r="AQ40" i="1"/>
  <c r="AQ43" i="1"/>
  <c r="AQ50" i="1"/>
  <c r="AQ63" i="1"/>
  <c r="AK37" i="1"/>
  <c r="AK39" i="1"/>
  <c r="AK40" i="1"/>
  <c r="AK43" i="1"/>
  <c r="AK50" i="1"/>
  <c r="AK63" i="1"/>
  <c r="D113" i="1"/>
  <c r="E113" i="1"/>
  <c r="F113" i="1"/>
  <c r="G113" i="1"/>
  <c r="I113" i="1"/>
  <c r="J113" i="1"/>
  <c r="K113" i="1"/>
  <c r="L113" i="1"/>
  <c r="M113" i="1"/>
  <c r="O113" i="1"/>
  <c r="P113" i="1"/>
  <c r="Q113" i="1"/>
  <c r="R113" i="1"/>
  <c r="S113" i="1"/>
  <c r="U113" i="1"/>
  <c r="V113" i="1"/>
  <c r="W113" i="1"/>
  <c r="X113" i="1"/>
  <c r="Y113" i="1"/>
  <c r="AA113" i="1"/>
  <c r="AB113" i="1"/>
  <c r="AC113" i="1"/>
  <c r="AD113" i="1"/>
  <c r="AE113" i="1"/>
  <c r="AG113" i="1"/>
  <c r="C113" i="1"/>
  <c r="D114" i="1"/>
  <c r="E114" i="1"/>
  <c r="F114" i="1"/>
  <c r="G114" i="1"/>
  <c r="I114" i="1"/>
  <c r="J114" i="1"/>
  <c r="K114" i="1"/>
  <c r="L114" i="1"/>
  <c r="M114" i="1"/>
  <c r="O114" i="1"/>
  <c r="P114" i="1"/>
  <c r="Q114" i="1"/>
  <c r="R114" i="1"/>
  <c r="S114" i="1"/>
  <c r="U114" i="1"/>
  <c r="V114" i="1"/>
  <c r="W114" i="1"/>
  <c r="X114" i="1"/>
  <c r="Y114" i="1"/>
  <c r="AA114" i="1"/>
  <c r="AB114" i="1"/>
  <c r="AC114" i="1"/>
  <c r="AD114" i="1"/>
  <c r="AE114" i="1"/>
  <c r="AG114" i="1"/>
  <c r="AB116" i="1"/>
  <c r="AC116" i="1"/>
  <c r="C115" i="1"/>
  <c r="C114" i="1"/>
  <c r="AH114" i="1"/>
  <c r="AH113" i="1"/>
  <c r="AK111" i="1"/>
  <c r="AM111" i="1"/>
  <c r="AN111" i="1"/>
  <c r="AO111" i="1"/>
  <c r="AP111" i="1"/>
  <c r="AQ111" i="1"/>
  <c r="AS111" i="1"/>
  <c r="AT111" i="1"/>
  <c r="AU111" i="1"/>
  <c r="AV111" i="1"/>
  <c r="AW111" i="1"/>
  <c r="AY111" i="1"/>
  <c r="AZ111" i="1"/>
  <c r="BA111" i="1"/>
  <c r="BB111" i="1"/>
  <c r="BC111" i="1"/>
  <c r="BE111" i="1"/>
  <c r="BF111" i="1"/>
  <c r="BG111" i="1"/>
  <c r="BH111" i="1"/>
  <c r="BI111" i="1"/>
  <c r="AJ111" i="1"/>
  <c r="C111" i="1"/>
  <c r="D111" i="1"/>
  <c r="E111" i="1"/>
  <c r="F111" i="1"/>
  <c r="G111" i="1"/>
  <c r="I111" i="1"/>
  <c r="J111" i="1"/>
  <c r="K111" i="1"/>
  <c r="L111" i="1"/>
  <c r="M111" i="1"/>
  <c r="O111" i="1"/>
  <c r="P111" i="1"/>
  <c r="Q111" i="1"/>
  <c r="R111" i="1"/>
  <c r="S111" i="1"/>
  <c r="U111" i="1"/>
  <c r="V111" i="1"/>
  <c r="W111" i="1"/>
  <c r="X111" i="1"/>
  <c r="Y111" i="1"/>
  <c r="AA111" i="1"/>
  <c r="AB111" i="1"/>
  <c r="AC111" i="1"/>
  <c r="AD111" i="1"/>
  <c r="AE111" i="1"/>
  <c r="AG111" i="1"/>
  <c r="AH111" i="1"/>
  <c r="D74" i="1"/>
  <c r="E74" i="1"/>
  <c r="F74" i="1"/>
  <c r="G74" i="1"/>
  <c r="I74" i="1"/>
  <c r="J74" i="1"/>
  <c r="K74" i="1"/>
  <c r="L74" i="1"/>
  <c r="M74" i="1"/>
  <c r="O74" i="1"/>
  <c r="P74" i="1"/>
  <c r="Q74" i="1"/>
  <c r="R74" i="1"/>
  <c r="S74" i="1"/>
  <c r="U74" i="1"/>
  <c r="V74" i="1"/>
  <c r="W74" i="1"/>
  <c r="X74" i="1"/>
  <c r="Y74" i="1"/>
  <c r="AA74" i="1"/>
  <c r="AB74" i="1"/>
  <c r="AC74" i="1"/>
  <c r="AD74" i="1"/>
  <c r="AE74" i="1"/>
  <c r="AG74" i="1"/>
  <c r="AH74" i="1"/>
  <c r="C74" i="1"/>
  <c r="D97" i="1"/>
  <c r="E97" i="1"/>
  <c r="F97" i="1"/>
  <c r="G97" i="1"/>
  <c r="I97" i="1"/>
  <c r="J97" i="1"/>
  <c r="K97" i="1"/>
  <c r="L97" i="1"/>
  <c r="M97" i="1"/>
  <c r="O97" i="1"/>
  <c r="P97" i="1"/>
  <c r="Q97" i="1"/>
  <c r="R97" i="1"/>
  <c r="S97" i="1"/>
  <c r="U97" i="1"/>
  <c r="V97" i="1"/>
  <c r="W97" i="1"/>
  <c r="X97" i="1"/>
  <c r="Y97" i="1"/>
  <c r="AA97" i="1"/>
  <c r="AB97" i="1"/>
  <c r="AC97" i="1"/>
  <c r="AD97" i="1"/>
  <c r="AE97" i="1"/>
  <c r="AG97" i="1"/>
  <c r="AH97" i="1"/>
  <c r="D98" i="1"/>
  <c r="E98" i="1"/>
  <c r="F98" i="1"/>
  <c r="G98" i="1"/>
  <c r="I98" i="1"/>
  <c r="J98" i="1"/>
  <c r="K98" i="1"/>
  <c r="L98" i="1"/>
  <c r="M98" i="1"/>
  <c r="O98" i="1"/>
  <c r="P98" i="1"/>
  <c r="Q98" i="1"/>
  <c r="R98" i="1"/>
  <c r="S98" i="1"/>
  <c r="U98" i="1"/>
  <c r="V98" i="1"/>
  <c r="W98" i="1"/>
  <c r="X98" i="1"/>
  <c r="Y98" i="1"/>
  <c r="AA98" i="1"/>
  <c r="AB98" i="1"/>
  <c r="AC98" i="1"/>
  <c r="AD98" i="1"/>
  <c r="AE98" i="1"/>
  <c r="AG98" i="1"/>
  <c r="AH98" i="1"/>
  <c r="D99" i="1"/>
  <c r="E99" i="1"/>
  <c r="F99" i="1"/>
  <c r="G99" i="1"/>
  <c r="I99" i="1"/>
  <c r="J99" i="1"/>
  <c r="K99" i="1"/>
  <c r="L99" i="1"/>
  <c r="M99" i="1"/>
  <c r="O99" i="1"/>
  <c r="P99" i="1"/>
  <c r="Q99" i="1"/>
  <c r="R99" i="1"/>
  <c r="S99" i="1"/>
  <c r="U99" i="1"/>
  <c r="V99" i="1"/>
  <c r="W99" i="1"/>
  <c r="X99" i="1"/>
  <c r="Y99" i="1"/>
  <c r="AA99" i="1"/>
  <c r="AB99" i="1"/>
  <c r="AC99" i="1"/>
  <c r="AD99" i="1"/>
  <c r="AE99" i="1"/>
  <c r="AG99" i="1"/>
  <c r="AH99" i="1"/>
  <c r="C99" i="1"/>
  <c r="C98" i="1"/>
  <c r="C97" i="1"/>
  <c r="D67" i="1"/>
  <c r="E67" i="1"/>
  <c r="F67" i="1"/>
  <c r="G67" i="1"/>
  <c r="H47" i="18" s="1"/>
  <c r="I67" i="1"/>
  <c r="J67" i="1"/>
  <c r="K67" i="1"/>
  <c r="L67" i="1"/>
  <c r="M67" i="1"/>
  <c r="I47" i="18" s="1"/>
  <c r="O67" i="1"/>
  <c r="P67" i="1"/>
  <c r="Q67" i="1"/>
  <c r="R67" i="1"/>
  <c r="S67" i="1"/>
  <c r="J47" i="18" s="1"/>
  <c r="U67" i="1"/>
  <c r="V67" i="1"/>
  <c r="W67" i="1"/>
  <c r="X67" i="1"/>
  <c r="Y67" i="1"/>
  <c r="K47" i="18" s="1"/>
  <c r="AA67" i="1"/>
  <c r="AB67" i="1"/>
  <c r="AC67" i="1"/>
  <c r="AD67" i="1"/>
  <c r="AE67" i="1"/>
  <c r="L47" i="18" s="1"/>
  <c r="AG67" i="1"/>
  <c r="AH67" i="1"/>
  <c r="C67" i="1"/>
  <c r="L57" i="1"/>
  <c r="L62" i="1" s="1"/>
  <c r="D57" i="1"/>
  <c r="D62" i="1" s="1"/>
  <c r="E57" i="1"/>
  <c r="E62" i="1" s="1"/>
  <c r="F57" i="1"/>
  <c r="F62" i="1" s="1"/>
  <c r="G57" i="1"/>
  <c r="G62" i="1" s="1"/>
  <c r="H46" i="18" s="1"/>
  <c r="I57" i="1"/>
  <c r="I62" i="1" s="1"/>
  <c r="J57" i="1"/>
  <c r="J62" i="1" s="1"/>
  <c r="K57" i="1"/>
  <c r="K62" i="1" s="1"/>
  <c r="M57" i="1"/>
  <c r="M62" i="1" s="1"/>
  <c r="I46" i="18" s="1"/>
  <c r="O57" i="1"/>
  <c r="O62" i="1" s="1"/>
  <c r="P57" i="1"/>
  <c r="P62" i="1" s="1"/>
  <c r="Q57" i="1"/>
  <c r="Q62" i="1" s="1"/>
  <c r="R57" i="1"/>
  <c r="R62" i="1" s="1"/>
  <c r="S57" i="1"/>
  <c r="S62" i="1" s="1"/>
  <c r="J46" i="18" s="1"/>
  <c r="U57" i="1"/>
  <c r="U62" i="1" s="1"/>
  <c r="V57" i="1"/>
  <c r="V62" i="1" s="1"/>
  <c r="W57" i="1"/>
  <c r="W62" i="1" s="1"/>
  <c r="X57" i="1"/>
  <c r="X62" i="1" s="1"/>
  <c r="Y57" i="1"/>
  <c r="Y62" i="1" s="1"/>
  <c r="K46" i="18" s="1"/>
  <c r="AA57" i="1"/>
  <c r="AA62" i="1" s="1"/>
  <c r="AB57" i="1"/>
  <c r="AB62" i="1" s="1"/>
  <c r="AC57" i="1"/>
  <c r="AC62" i="1" s="1"/>
  <c r="AD57" i="1"/>
  <c r="AD62" i="1" s="1"/>
  <c r="AE57" i="1"/>
  <c r="AE62" i="1" s="1"/>
  <c r="L46" i="18" s="1"/>
  <c r="AG57" i="1"/>
  <c r="AG62" i="1" s="1"/>
  <c r="AH57" i="1"/>
  <c r="AH62" i="1" s="1"/>
  <c r="C57" i="1"/>
  <c r="C62" i="1" s="1"/>
  <c r="AD41" i="1"/>
  <c r="AD49" i="1" s="1"/>
  <c r="X41" i="1"/>
  <c r="X49" i="1" s="1"/>
  <c r="R41" i="1"/>
  <c r="R49" i="1" s="1"/>
  <c r="L41" i="1"/>
  <c r="L49" i="1" s="1"/>
  <c r="F41" i="1"/>
  <c r="F49" i="1" s="1"/>
  <c r="D41" i="1"/>
  <c r="D49" i="1" s="1"/>
  <c r="E41" i="1"/>
  <c r="E49" i="1" s="1"/>
  <c r="G41" i="1"/>
  <c r="I41" i="1"/>
  <c r="I49" i="1" s="1"/>
  <c r="J41" i="1"/>
  <c r="J49" i="1" s="1"/>
  <c r="K41" i="1"/>
  <c r="K49" i="1" s="1"/>
  <c r="M41" i="1"/>
  <c r="O41" i="1"/>
  <c r="O49" i="1" s="1"/>
  <c r="P41" i="1"/>
  <c r="P49" i="1" s="1"/>
  <c r="Q41" i="1"/>
  <c r="Q49" i="1" s="1"/>
  <c r="S41" i="1"/>
  <c r="U41" i="1"/>
  <c r="U49" i="1" s="1"/>
  <c r="V41" i="1"/>
  <c r="V49" i="1" s="1"/>
  <c r="W41" i="1"/>
  <c r="W49" i="1" s="1"/>
  <c r="Y41" i="1"/>
  <c r="AA41" i="1"/>
  <c r="AA49" i="1" s="1"/>
  <c r="AB41" i="1"/>
  <c r="AB49" i="1" s="1"/>
  <c r="AC41" i="1"/>
  <c r="AC49" i="1" s="1"/>
  <c r="AE41" i="1"/>
  <c r="AG41" i="1"/>
  <c r="AG49" i="1" s="1"/>
  <c r="AH41" i="1"/>
  <c r="AH49" i="1" s="1"/>
  <c r="C41" i="1"/>
  <c r="C49" i="1" s="1"/>
  <c r="AH30" i="1"/>
  <c r="D30" i="1"/>
  <c r="E30" i="1"/>
  <c r="F30" i="1"/>
  <c r="G30" i="1"/>
  <c r="I30" i="1"/>
  <c r="J30" i="1"/>
  <c r="K30" i="1"/>
  <c r="L30" i="1"/>
  <c r="M30" i="1"/>
  <c r="O30" i="1"/>
  <c r="P30" i="1"/>
  <c r="Q30" i="1"/>
  <c r="R30" i="1"/>
  <c r="S30" i="1"/>
  <c r="U30" i="1"/>
  <c r="V30" i="1"/>
  <c r="W30" i="1"/>
  <c r="X30" i="1"/>
  <c r="Y30" i="1"/>
  <c r="AA30" i="1"/>
  <c r="AB30" i="1"/>
  <c r="AC30" i="1"/>
  <c r="AD30" i="1"/>
  <c r="AE30" i="1"/>
  <c r="AG30" i="1"/>
  <c r="C30" i="1"/>
  <c r="D27" i="1"/>
  <c r="E27" i="1"/>
  <c r="F27" i="1"/>
  <c r="G27" i="1"/>
  <c r="I27" i="1"/>
  <c r="J27" i="1"/>
  <c r="K27" i="1"/>
  <c r="L27" i="1"/>
  <c r="M27" i="1"/>
  <c r="O27" i="1"/>
  <c r="P27" i="1"/>
  <c r="Q27" i="1"/>
  <c r="R27" i="1"/>
  <c r="S27" i="1"/>
  <c r="U27" i="1"/>
  <c r="V27" i="1"/>
  <c r="W27" i="1"/>
  <c r="X27" i="1"/>
  <c r="Y27" i="1"/>
  <c r="AA27" i="1"/>
  <c r="AB27" i="1"/>
  <c r="AC27" i="1"/>
  <c r="AD27" i="1"/>
  <c r="AE27" i="1"/>
  <c r="AK27" i="1" s="1"/>
  <c r="AQ27" i="1" s="1"/>
  <c r="AW27" i="1" s="1"/>
  <c r="BC27" i="1" s="1"/>
  <c r="BI27" i="1" s="1"/>
  <c r="AG27" i="1"/>
  <c r="AH27" i="1"/>
  <c r="D28" i="1"/>
  <c r="E28" i="1"/>
  <c r="F28" i="1"/>
  <c r="G28" i="1"/>
  <c r="I28" i="1"/>
  <c r="J28" i="1"/>
  <c r="K28" i="1"/>
  <c r="L28" i="1"/>
  <c r="M28" i="1"/>
  <c r="O28" i="1"/>
  <c r="P28" i="1"/>
  <c r="Q28" i="1"/>
  <c r="R28" i="1"/>
  <c r="S28" i="1"/>
  <c r="U28" i="1"/>
  <c r="V28" i="1"/>
  <c r="W28" i="1"/>
  <c r="X28" i="1"/>
  <c r="Y28" i="1"/>
  <c r="AA28" i="1"/>
  <c r="AB28" i="1"/>
  <c r="AC28" i="1"/>
  <c r="AD28" i="1"/>
  <c r="AE28" i="1"/>
  <c r="AG28" i="1"/>
  <c r="AH28" i="1"/>
  <c r="D29" i="1"/>
  <c r="E29" i="1"/>
  <c r="F29" i="1"/>
  <c r="G29" i="1"/>
  <c r="I29" i="1"/>
  <c r="J29" i="1"/>
  <c r="K29" i="1"/>
  <c r="L29" i="1"/>
  <c r="M29" i="1"/>
  <c r="O29" i="1"/>
  <c r="P29" i="1"/>
  <c r="Q29" i="1"/>
  <c r="R29" i="1"/>
  <c r="S29" i="1"/>
  <c r="U29" i="1"/>
  <c r="V29" i="1"/>
  <c r="W29" i="1"/>
  <c r="X29" i="1"/>
  <c r="Y29" i="1"/>
  <c r="AA29" i="1"/>
  <c r="AB29" i="1"/>
  <c r="AC29" i="1"/>
  <c r="AD29" i="1"/>
  <c r="AE29" i="1"/>
  <c r="AG29" i="1"/>
  <c r="AH29" i="1"/>
  <c r="C29" i="1"/>
  <c r="C28" i="1"/>
  <c r="C27" i="1"/>
  <c r="J26" i="1"/>
  <c r="K26" i="1"/>
  <c r="L26" i="1"/>
  <c r="M26" i="1"/>
  <c r="O26" i="1"/>
  <c r="P26" i="1"/>
  <c r="Q26" i="1"/>
  <c r="R26" i="1"/>
  <c r="S26" i="1"/>
  <c r="U26" i="1"/>
  <c r="V26" i="1"/>
  <c r="W26" i="1"/>
  <c r="X26" i="1"/>
  <c r="Y26" i="1"/>
  <c r="AA26" i="1"/>
  <c r="AB26" i="1"/>
  <c r="AC26" i="1"/>
  <c r="AD26" i="1"/>
  <c r="AE26" i="1"/>
  <c r="AG26" i="1"/>
  <c r="AH26" i="1"/>
  <c r="I26" i="1"/>
  <c r="AD8" i="3"/>
  <c r="AJ48" i="1" l="1"/>
  <c r="AK48" i="1" s="1"/>
  <c r="AM48" i="1" s="1"/>
  <c r="AN48" i="1" s="1"/>
  <c r="AO48" i="1" s="1"/>
  <c r="AP48" i="1" s="1"/>
  <c r="AQ48" i="1" s="1"/>
  <c r="AS48" i="1" s="1"/>
  <c r="AT48" i="1" s="1"/>
  <c r="AU48" i="1" s="1"/>
  <c r="AV48" i="1" s="1"/>
  <c r="AW48" i="1" s="1"/>
  <c r="AY48" i="1" s="1"/>
  <c r="AZ48" i="1" s="1"/>
  <c r="BA48" i="1" s="1"/>
  <c r="BB48" i="1" s="1"/>
  <c r="BC48" i="1" s="1"/>
  <c r="BE48" i="1" s="1"/>
  <c r="BF48" i="1" s="1"/>
  <c r="BG48" i="1" s="1"/>
  <c r="BH48" i="1" s="1"/>
  <c r="BI48" i="1" s="1"/>
  <c r="AJ44" i="1"/>
  <c r="AK44" i="1" s="1"/>
  <c r="AM44" i="1" s="1"/>
  <c r="AN44" i="1" s="1"/>
  <c r="AO44" i="1" s="1"/>
  <c r="AP44" i="1" s="1"/>
  <c r="AQ44" i="1" s="1"/>
  <c r="AS44" i="1" s="1"/>
  <c r="AT44" i="1" s="1"/>
  <c r="AU44" i="1" s="1"/>
  <c r="AV44" i="1" s="1"/>
  <c r="AW44" i="1" s="1"/>
  <c r="AY44" i="1" s="1"/>
  <c r="AZ44" i="1" s="1"/>
  <c r="BA44" i="1" s="1"/>
  <c r="BB44" i="1" s="1"/>
  <c r="BC44" i="1" s="1"/>
  <c r="BE44" i="1" s="1"/>
  <c r="BF44" i="1" s="1"/>
  <c r="BG44" i="1" s="1"/>
  <c r="BH44" i="1" s="1"/>
  <c r="BI44" i="1" s="1"/>
  <c r="AK45" i="1"/>
  <c r="AM45" i="1" s="1"/>
  <c r="AN45" i="1" s="1"/>
  <c r="AO45" i="1" s="1"/>
  <c r="AP45" i="1" s="1"/>
  <c r="AQ45" i="1" s="1"/>
  <c r="AS45" i="1" s="1"/>
  <c r="AT45" i="1" s="1"/>
  <c r="AU45" i="1" s="1"/>
  <c r="AV45" i="1" s="1"/>
  <c r="AW45" i="1" s="1"/>
  <c r="AY45" i="1" s="1"/>
  <c r="AZ45" i="1" s="1"/>
  <c r="BA45" i="1" s="1"/>
  <c r="BB45" i="1" s="1"/>
  <c r="BC45" i="1" s="1"/>
  <c r="BE45" i="1" s="1"/>
  <c r="BF45" i="1" s="1"/>
  <c r="BG45" i="1" s="1"/>
  <c r="BH45" i="1" s="1"/>
  <c r="BI45" i="1" s="1"/>
  <c r="AJ45" i="1"/>
  <c r="AJ46" i="1"/>
  <c r="AK46" i="1" s="1"/>
  <c r="AJ47" i="1"/>
  <c r="AK47" i="1" s="1"/>
  <c r="AJ53" i="1"/>
  <c r="AK53" i="1" s="1"/>
  <c r="AM53" i="1" s="1"/>
  <c r="AN53" i="1" s="1"/>
  <c r="AO53" i="1" s="1"/>
  <c r="AP53" i="1" s="1"/>
  <c r="AQ53" i="1" s="1"/>
  <c r="AS53" i="1" s="1"/>
  <c r="AT53" i="1" s="1"/>
  <c r="AU53" i="1" s="1"/>
  <c r="AV53" i="1" s="1"/>
  <c r="AW53" i="1" s="1"/>
  <c r="AY53" i="1" s="1"/>
  <c r="AZ53" i="1" s="1"/>
  <c r="BA53" i="1" s="1"/>
  <c r="BB53" i="1" s="1"/>
  <c r="BC53" i="1" s="1"/>
  <c r="BE53" i="1" s="1"/>
  <c r="BF53" i="1" s="1"/>
  <c r="BG53" i="1" s="1"/>
  <c r="BH53" i="1" s="1"/>
  <c r="BI53" i="1" s="1"/>
  <c r="AJ54" i="1"/>
  <c r="AK54" i="1" s="1"/>
  <c r="AM54" i="1" s="1"/>
  <c r="AN54" i="1" s="1"/>
  <c r="AO54" i="1" s="1"/>
  <c r="AP54" i="1" s="1"/>
  <c r="AQ54" i="1" s="1"/>
  <c r="AS54" i="1" s="1"/>
  <c r="AT54" i="1" s="1"/>
  <c r="AU54" i="1" s="1"/>
  <c r="AV54" i="1" s="1"/>
  <c r="AW54" i="1" s="1"/>
  <c r="AY54" i="1" s="1"/>
  <c r="AZ54" i="1" s="1"/>
  <c r="BA54" i="1" s="1"/>
  <c r="BB54" i="1" s="1"/>
  <c r="BC54" i="1" s="1"/>
  <c r="BE54" i="1" s="1"/>
  <c r="BF54" i="1" s="1"/>
  <c r="BG54" i="1" s="1"/>
  <c r="BH54" i="1" s="1"/>
  <c r="BI54" i="1" s="1"/>
  <c r="AJ55" i="1"/>
  <c r="AK55" i="1" s="1"/>
  <c r="AM55" i="1" s="1"/>
  <c r="AN55" i="1" s="1"/>
  <c r="AO55" i="1" s="1"/>
  <c r="AP55" i="1" s="1"/>
  <c r="AQ55" i="1" s="1"/>
  <c r="AS55" i="1" s="1"/>
  <c r="AT55" i="1" s="1"/>
  <c r="AU55" i="1" s="1"/>
  <c r="AV55" i="1" s="1"/>
  <c r="AW55" i="1" s="1"/>
  <c r="AY55" i="1" s="1"/>
  <c r="AZ55" i="1" s="1"/>
  <c r="BA55" i="1" s="1"/>
  <c r="BB55" i="1" s="1"/>
  <c r="BC55" i="1" s="1"/>
  <c r="BE55" i="1" s="1"/>
  <c r="BF55" i="1" s="1"/>
  <c r="BG55" i="1" s="1"/>
  <c r="BH55" i="1" s="1"/>
  <c r="BI55" i="1" s="1"/>
  <c r="Y49" i="1"/>
  <c r="K45" i="18" s="1"/>
  <c r="K64" i="18"/>
  <c r="D76" i="11" s="1"/>
  <c r="AI27" i="1"/>
  <c r="AJ27" i="1" s="1"/>
  <c r="AY26" i="1"/>
  <c r="BE26" i="1" s="1"/>
  <c r="BB26" i="1"/>
  <c r="BH26" i="1" s="1"/>
  <c r="AM30" i="1"/>
  <c r="AS30" i="1" s="1"/>
  <c r="AY30" i="1" s="1"/>
  <c r="BE30" i="1" s="1"/>
  <c r="BA26" i="1"/>
  <c r="BG26" i="1" s="1"/>
  <c r="AI29" i="1"/>
  <c r="AJ29" i="1" s="1"/>
  <c r="AM29" i="1" s="1"/>
  <c r="M49" i="1"/>
  <c r="I45" i="18" s="1"/>
  <c r="I64" i="18"/>
  <c r="AE49" i="1"/>
  <c r="L45" i="18" s="1"/>
  <c r="L64" i="18"/>
  <c r="E76" i="11" s="1"/>
  <c r="AJ30" i="1"/>
  <c r="AP30" i="1" s="1"/>
  <c r="AV30" i="1" s="1"/>
  <c r="BB30" i="1" s="1"/>
  <c r="BH30" i="1" s="1"/>
  <c r="AN97" i="1"/>
  <c r="AI30" i="1"/>
  <c r="AO30" i="1" s="1"/>
  <c r="AU30" i="1" s="1"/>
  <c r="BA30" i="1" s="1"/>
  <c r="BG30" i="1" s="1"/>
  <c r="S49" i="1"/>
  <c r="J45" i="18" s="1"/>
  <c r="J64" i="18"/>
  <c r="AZ26" i="1"/>
  <c r="BF26" i="1" s="1"/>
  <c r="AK29" i="1"/>
  <c r="AQ29" i="1" s="1"/>
  <c r="AW29" i="1" s="1"/>
  <c r="BC29" i="1" s="1"/>
  <c r="BI29" i="1" s="1"/>
  <c r="AN30" i="1"/>
  <c r="AT30" i="1" s="1"/>
  <c r="AZ30" i="1" s="1"/>
  <c r="BF30" i="1" s="1"/>
  <c r="G49" i="1"/>
  <c r="H45" i="18" s="1"/>
  <c r="H64" i="18"/>
  <c r="AJ97" i="1"/>
  <c r="AP97" i="1" s="1"/>
  <c r="AI97" i="1"/>
  <c r="AO97" i="1" s="1"/>
  <c r="AU97" i="1" s="1"/>
  <c r="BA97" i="1" s="1"/>
  <c r="BG97" i="1" s="1"/>
  <c r="C25" i="7"/>
  <c r="AP94" i="1"/>
  <c r="AP86" i="1" s="1"/>
  <c r="BF94" i="1"/>
  <c r="BF86" i="1" s="1"/>
  <c r="BH94" i="1"/>
  <c r="BH86" i="1" s="1"/>
  <c r="AJ94" i="1"/>
  <c r="AJ86" i="1" s="1"/>
  <c r="AS94" i="1"/>
  <c r="AU94" i="1"/>
  <c r="AU86" i="1" s="1"/>
  <c r="AZ94" i="1"/>
  <c r="AZ86" i="1" s="1"/>
  <c r="BA94" i="1"/>
  <c r="AM94" i="1"/>
  <c r="AV94" i="1"/>
  <c r="AV86" i="1" s="1"/>
  <c r="AY94" i="1"/>
  <c r="AY86" i="1" s="1"/>
  <c r="BE94" i="1"/>
  <c r="BG94" i="1"/>
  <c r="BG86" i="1" s="1"/>
  <c r="AO94" i="1"/>
  <c r="AO86" i="1" s="1"/>
  <c r="BB94" i="1"/>
  <c r="BB86" i="1" s="1"/>
  <c r="AN94" i="1"/>
  <c r="AN86" i="1" s="1"/>
  <c r="AT94" i="1"/>
  <c r="AT86" i="1" s="1"/>
  <c r="AI94" i="1"/>
  <c r="P116" i="1"/>
  <c r="M116" i="1"/>
  <c r="AH116" i="1"/>
  <c r="O116" i="1"/>
  <c r="L116" i="1"/>
  <c r="AD116" i="1"/>
  <c r="G116" i="1"/>
  <c r="F116" i="1"/>
  <c r="E116" i="1"/>
  <c r="W116" i="1"/>
  <c r="D116" i="1"/>
  <c r="V116" i="1"/>
  <c r="I116" i="1"/>
  <c r="K116" i="1"/>
  <c r="AG116" i="1"/>
  <c r="AI28" i="1"/>
  <c r="AJ28" i="1" s="1"/>
  <c r="C116" i="1"/>
  <c r="J116" i="1"/>
  <c r="AE116" i="1"/>
  <c r="AK51" i="1"/>
  <c r="AM51" i="1" s="1"/>
  <c r="AK64" i="1"/>
  <c r="AM64" i="1" s="1"/>
  <c r="U116" i="1"/>
  <c r="S116" i="1"/>
  <c r="R116" i="1"/>
  <c r="Q116" i="1"/>
  <c r="AA116" i="1"/>
  <c r="Y116" i="1"/>
  <c r="X116" i="1"/>
  <c r="AJ98" i="1"/>
  <c r="AN98" i="1"/>
  <c r="AT98" i="1" s="1"/>
  <c r="AZ98" i="1" s="1"/>
  <c r="BF98" i="1" s="1"/>
  <c r="AM98" i="1"/>
  <c r="AS98" i="1" s="1"/>
  <c r="AY98" i="1" s="1"/>
  <c r="BE98" i="1" s="1"/>
  <c r="AN99" i="1"/>
  <c r="AT99" i="1" s="1"/>
  <c r="AZ99" i="1" s="1"/>
  <c r="BF99" i="1" s="1"/>
  <c r="AK99" i="1"/>
  <c r="AQ99" i="1" s="1"/>
  <c r="AW99" i="1" s="1"/>
  <c r="BC99" i="1" s="1"/>
  <c r="BI99" i="1" s="1"/>
  <c r="AJ99" i="1"/>
  <c r="AK97" i="1"/>
  <c r="AQ97" i="1" s="1"/>
  <c r="AW97" i="1" s="1"/>
  <c r="BC97" i="1" s="1"/>
  <c r="BI97" i="1" s="1"/>
  <c r="AK98" i="1"/>
  <c r="AQ98" i="1" s="1"/>
  <c r="AW98" i="1" s="1"/>
  <c r="BC98" i="1" s="1"/>
  <c r="BI98" i="1" s="1"/>
  <c r="AI98" i="1"/>
  <c r="AO98" i="1" s="1"/>
  <c r="AU98" i="1" s="1"/>
  <c r="BA98" i="1" s="1"/>
  <c r="BG98" i="1" s="1"/>
  <c r="AI99" i="1"/>
  <c r="AO99" i="1" s="1"/>
  <c r="AU99" i="1" s="1"/>
  <c r="BA99" i="1" s="1"/>
  <c r="BG99" i="1" s="1"/>
  <c r="AM99" i="1"/>
  <c r="AS99" i="1" s="1"/>
  <c r="AY99" i="1" s="1"/>
  <c r="BE99" i="1" s="1"/>
  <c r="D68" i="1"/>
  <c r="D69" i="1" s="1"/>
  <c r="Y100" i="1"/>
  <c r="V100" i="1"/>
  <c r="AA100" i="1"/>
  <c r="X100" i="1"/>
  <c r="U100" i="1"/>
  <c r="X68" i="1"/>
  <c r="X69" i="1" s="1"/>
  <c r="W68" i="1"/>
  <c r="W69" i="1" s="1"/>
  <c r="U68" i="1"/>
  <c r="U69" i="1" s="1"/>
  <c r="S100" i="1"/>
  <c r="V68" i="1"/>
  <c r="V69" i="1" s="1"/>
  <c r="Q68" i="1"/>
  <c r="Q69" i="1" s="1"/>
  <c r="R100" i="1"/>
  <c r="S68" i="1"/>
  <c r="S69" i="1" s="1"/>
  <c r="O100" i="1"/>
  <c r="K100" i="1"/>
  <c r="K68" i="1"/>
  <c r="K69" i="1" s="1"/>
  <c r="R68" i="1"/>
  <c r="R69" i="1" s="1"/>
  <c r="M100" i="1"/>
  <c r="P68" i="1"/>
  <c r="P69" i="1" s="1"/>
  <c r="L100" i="1"/>
  <c r="J68" i="1"/>
  <c r="J69" i="1" s="1"/>
  <c r="W100" i="1"/>
  <c r="F68" i="1"/>
  <c r="F69" i="1" s="1"/>
  <c r="C100" i="1"/>
  <c r="J100" i="1"/>
  <c r="AE68" i="1"/>
  <c r="I100" i="1"/>
  <c r="G100" i="1"/>
  <c r="AC68" i="1"/>
  <c r="AC69" i="1" s="1"/>
  <c r="F100" i="1"/>
  <c r="AB68" i="1"/>
  <c r="AB69" i="1" s="1"/>
  <c r="AA68" i="1"/>
  <c r="AA69" i="1" s="1"/>
  <c r="D100" i="1"/>
  <c r="I68" i="1"/>
  <c r="I69" i="1" s="1"/>
  <c r="G68" i="1"/>
  <c r="G69" i="1" s="1"/>
  <c r="AG100" i="1"/>
  <c r="E68" i="1"/>
  <c r="E69" i="1" s="1"/>
  <c r="AE100" i="1"/>
  <c r="AD100" i="1"/>
  <c r="L68" i="1"/>
  <c r="L69" i="1" s="1"/>
  <c r="E100" i="1"/>
  <c r="AB100" i="1"/>
  <c r="AH68" i="1"/>
  <c r="AH69" i="1" s="1"/>
  <c r="AG68" i="1"/>
  <c r="AG69" i="1" s="1"/>
  <c r="M68" i="1"/>
  <c r="M69" i="1" s="1"/>
  <c r="AH100" i="1"/>
  <c r="Q100" i="1"/>
  <c r="AC100" i="1"/>
  <c r="AD68" i="1"/>
  <c r="AD69" i="1" s="1"/>
  <c r="P100" i="1"/>
  <c r="AK30" i="1"/>
  <c r="AQ30" i="1" s="1"/>
  <c r="AW30" i="1" s="1"/>
  <c r="BC30" i="1" s="1"/>
  <c r="BI30" i="1" s="1"/>
  <c r="Y68" i="1"/>
  <c r="Y69" i="1" s="1"/>
  <c r="C68" i="1"/>
  <c r="C69" i="1" s="1"/>
  <c r="O68" i="1"/>
  <c r="O69" i="1" s="1"/>
  <c r="AJ4" i="1"/>
  <c r="AJ10" i="1" l="1"/>
  <c r="AP99" i="1"/>
  <c r="AV99" i="1" s="1"/>
  <c r="BB99" i="1" s="1"/>
  <c r="BH99" i="1" s="1"/>
  <c r="AP98" i="1"/>
  <c r="AV98" i="1" s="1"/>
  <c r="BB98" i="1" s="1"/>
  <c r="BH98" i="1" s="1"/>
  <c r="AM27" i="1"/>
  <c r="AE69" i="1"/>
  <c r="AS29" i="1"/>
  <c r="AY29" i="1" s="1"/>
  <c r="BE29" i="1" s="1"/>
  <c r="AN29" i="1"/>
  <c r="AS86" i="1"/>
  <c r="AW94" i="1"/>
  <c r="AW86" i="1" s="1"/>
  <c r="AM86" i="1"/>
  <c r="AQ94" i="1"/>
  <c r="AQ86" i="1" s="1"/>
  <c r="AI86" i="1"/>
  <c r="AI65" i="1" s="1"/>
  <c r="AJ65" i="1" s="1"/>
  <c r="AK94" i="1"/>
  <c r="AK86" i="1" s="1"/>
  <c r="BA86" i="1"/>
  <c r="BC94" i="1"/>
  <c r="BC86" i="1" s="1"/>
  <c r="BE86" i="1"/>
  <c r="BI94" i="1"/>
  <c r="BI86" i="1" s="1"/>
  <c r="AI88" i="1"/>
  <c r="AM28" i="1"/>
  <c r="AS28" i="1" s="1"/>
  <c r="AY28" i="1" s="1"/>
  <c r="BE28" i="1" s="1"/>
  <c r="AK28" i="1"/>
  <c r="AJ93" i="1"/>
  <c r="AJ8" i="1"/>
  <c r="AJ109" i="1"/>
  <c r="AN64" i="1"/>
  <c r="AN51" i="1"/>
  <c r="AK100" i="1"/>
  <c r="AQ100" i="1" s="1"/>
  <c r="AW100" i="1" s="1"/>
  <c r="BC100" i="1" s="1"/>
  <c r="BI100" i="1" s="1"/>
  <c r="AM100" i="1"/>
  <c r="AS100" i="1" s="1"/>
  <c r="AY100" i="1" s="1"/>
  <c r="BE100" i="1" s="1"/>
  <c r="AI100" i="1"/>
  <c r="AO100" i="1" s="1"/>
  <c r="AU100" i="1" s="1"/>
  <c r="BA100" i="1" s="1"/>
  <c r="BG100" i="1" s="1"/>
  <c r="AJ5" i="1"/>
  <c r="AJ52" i="1" s="1"/>
  <c r="AJ57" i="1" s="1"/>
  <c r="AN100" i="1"/>
  <c r="AT100" i="1" s="1"/>
  <c r="AZ100" i="1" s="1"/>
  <c r="BF100" i="1" s="1"/>
  <c r="AJ100" i="1"/>
  <c r="AP100" i="1" s="1"/>
  <c r="AV100" i="1" s="1"/>
  <c r="BB100" i="1" s="1"/>
  <c r="BH100" i="1" s="1"/>
  <c r="AN4" i="1"/>
  <c r="AM4" i="1"/>
  <c r="AM10" i="1" s="1"/>
  <c r="AI4" i="1"/>
  <c r="AJ38" i="1" l="1"/>
  <c r="AS27" i="1"/>
  <c r="AY27" i="1" s="1"/>
  <c r="BE27" i="1" s="1"/>
  <c r="AN27" i="1"/>
  <c r="AT27" i="1" s="1"/>
  <c r="AZ27" i="1" s="1"/>
  <c r="BF27" i="1" s="1"/>
  <c r="AO27" i="1"/>
  <c r="AU27" i="1" s="1"/>
  <c r="BA27" i="1" s="1"/>
  <c r="BG27" i="1" s="1"/>
  <c r="AT29" i="1"/>
  <c r="AZ29" i="1" s="1"/>
  <c r="BF29" i="1" s="1"/>
  <c r="AO29" i="1"/>
  <c r="AN28" i="1"/>
  <c r="AT28" i="1" s="1"/>
  <c r="AZ28" i="1" s="1"/>
  <c r="BF28" i="1" s="1"/>
  <c r="AK65" i="1"/>
  <c r="AM65" i="1" s="1"/>
  <c r="AN65" i="1" s="1"/>
  <c r="AO65" i="1" s="1"/>
  <c r="AP65" i="1" s="1"/>
  <c r="S15" i="9"/>
  <c r="Q36" i="16"/>
  <c r="Q35" i="14"/>
  <c r="AO28" i="1"/>
  <c r="AU28" i="1" s="1"/>
  <c r="BA28" i="1" s="1"/>
  <c r="BG28" i="1" s="1"/>
  <c r="AI10" i="1"/>
  <c r="AK4" i="1"/>
  <c r="AI5" i="1"/>
  <c r="AK5" i="1" s="1"/>
  <c r="M23" i="18" s="1"/>
  <c r="AI8" i="1"/>
  <c r="AK8" i="1" s="1"/>
  <c r="AM93" i="1"/>
  <c r="AM74" i="1"/>
  <c r="AM8" i="1"/>
  <c r="AN8" i="1"/>
  <c r="AP4" i="1"/>
  <c r="AV4" i="1" s="1"/>
  <c r="AI36" i="1"/>
  <c r="AI75" i="1" s="1"/>
  <c r="AI93" i="1"/>
  <c r="AO51" i="1"/>
  <c r="AO64" i="1"/>
  <c r="AT4" i="1"/>
  <c r="AN93" i="1"/>
  <c r="AJ74" i="1"/>
  <c r="AM5" i="1"/>
  <c r="AN5" i="1"/>
  <c r="AN36" i="1"/>
  <c r="AS4" i="1"/>
  <c r="AO4" i="1"/>
  <c r="AJ6" i="1"/>
  <c r="AJ7" i="1" l="1"/>
  <c r="AJ11" i="1"/>
  <c r="J9" i="10"/>
  <c r="AI74" i="1"/>
  <c r="AP28" i="1"/>
  <c r="AV28" i="1" s="1"/>
  <c r="BB28" i="1" s="1"/>
  <c r="BH28" i="1" s="1"/>
  <c r="AP27" i="1"/>
  <c r="AV27" i="1" s="1"/>
  <c r="BB27" i="1" s="1"/>
  <c r="BH27" i="1" s="1"/>
  <c r="AP29" i="1"/>
  <c r="AV29" i="1" s="1"/>
  <c r="BB29" i="1" s="1"/>
  <c r="BH29" i="1" s="1"/>
  <c r="AU29" i="1"/>
  <c r="BA29" i="1" s="1"/>
  <c r="BG29" i="1" s="1"/>
  <c r="AQ65" i="1"/>
  <c r="AS65" i="1" s="1"/>
  <c r="AT65" i="1" s="1"/>
  <c r="AU65" i="1" s="1"/>
  <c r="AV65" i="1" s="1"/>
  <c r="AK26" i="1"/>
  <c r="M21" i="18"/>
  <c r="M24" i="18" s="1"/>
  <c r="K20" i="9"/>
  <c r="AJ87" i="1"/>
  <c r="AK93" i="1"/>
  <c r="I11" i="10" s="1"/>
  <c r="AM108" i="1"/>
  <c r="AM87" i="1"/>
  <c r="AM88" i="1" s="1"/>
  <c r="AM109" i="1"/>
  <c r="AO93" i="1"/>
  <c r="AP108" i="1" s="1"/>
  <c r="AO8" i="1"/>
  <c r="AT93" i="1"/>
  <c r="AN108" i="1"/>
  <c r="AN87" i="1"/>
  <c r="AN88" i="1" s="1"/>
  <c r="AP93" i="1"/>
  <c r="AS93" i="1"/>
  <c r="AS8" i="1"/>
  <c r="AO108" i="1"/>
  <c r="AO87" i="1"/>
  <c r="AO88" i="1" s="1"/>
  <c r="AV93" i="1"/>
  <c r="AQ4" i="1"/>
  <c r="N21" i="18" s="1"/>
  <c r="AK10" i="1"/>
  <c r="AI109" i="1"/>
  <c r="AI110" i="1" s="1"/>
  <c r="AI42" i="1" s="1"/>
  <c r="AJ107" i="1" s="1"/>
  <c r="AS10" i="1"/>
  <c r="AP5" i="1"/>
  <c r="AP38" i="1" s="1"/>
  <c r="AI6" i="1"/>
  <c r="AI11" i="1" s="1"/>
  <c r="AI38" i="1"/>
  <c r="AI76" i="1" s="1"/>
  <c r="AI52" i="1"/>
  <c r="AI77" i="1" s="1"/>
  <c r="AJ108" i="1"/>
  <c r="AN38" i="1"/>
  <c r="AN52" i="1"/>
  <c r="AM38" i="1"/>
  <c r="AM52" i="1"/>
  <c r="AK38" i="1"/>
  <c r="AP64" i="1"/>
  <c r="AP51" i="1"/>
  <c r="AM6" i="1"/>
  <c r="AM11" i="1" s="1"/>
  <c r="AK52" i="1"/>
  <c r="AK77" i="1" s="1"/>
  <c r="AZ4" i="1"/>
  <c r="AY4" i="1"/>
  <c r="AY10" i="1" s="1"/>
  <c r="AN6" i="1"/>
  <c r="AN7" i="1" s="1"/>
  <c r="AT5" i="1"/>
  <c r="AS5" i="1"/>
  <c r="AV5" i="1"/>
  <c r="AO36" i="1"/>
  <c r="AO75" i="1" s="1"/>
  <c r="AO5" i="1"/>
  <c r="AO6" i="1" s="1"/>
  <c r="AO7" i="1" s="1"/>
  <c r="AU4" i="1"/>
  <c r="BB4" i="1"/>
  <c r="BB93" i="1" s="1"/>
  <c r="AP8" i="1" l="1"/>
  <c r="AJ9" i="1"/>
  <c r="AJ14" i="1"/>
  <c r="AQ28" i="1"/>
  <c r="AP87" i="1"/>
  <c r="AP88" i="1" s="1"/>
  <c r="AK87" i="1"/>
  <c r="AK88" i="1" s="1"/>
  <c r="J6" i="10"/>
  <c r="AQ93" i="1"/>
  <c r="K11" i="10" s="1"/>
  <c r="AW65" i="1"/>
  <c r="AY65" i="1" s="1"/>
  <c r="AZ65" i="1" s="1"/>
  <c r="BA65" i="1" s="1"/>
  <c r="BB65" i="1" s="1"/>
  <c r="BC65" i="1" s="1"/>
  <c r="BE65" i="1" s="1"/>
  <c r="BF65" i="1" s="1"/>
  <c r="BG65" i="1" s="1"/>
  <c r="BH65" i="1" s="1"/>
  <c r="BI65" i="1" s="1"/>
  <c r="M25" i="18"/>
  <c r="AJ88" i="1"/>
  <c r="J11" i="10"/>
  <c r="M22" i="18"/>
  <c r="E39" i="11" s="1"/>
  <c r="E38" i="11"/>
  <c r="AM77" i="1"/>
  <c r="AM76" i="1"/>
  <c r="E40" i="11"/>
  <c r="M26" i="18"/>
  <c r="E41" i="11" s="1"/>
  <c r="M27" i="18"/>
  <c r="F38" i="11"/>
  <c r="N22" i="18"/>
  <c r="F39" i="11" s="1"/>
  <c r="AQ5" i="1"/>
  <c r="N23" i="18" s="1"/>
  <c r="N24" i="18" s="1"/>
  <c r="AQ8" i="1"/>
  <c r="AS87" i="1"/>
  <c r="AS88" i="1" s="1"/>
  <c r="AS108" i="1"/>
  <c r="AM9" i="1"/>
  <c r="AQ26" i="1"/>
  <c r="L20" i="9"/>
  <c r="AP6" i="1"/>
  <c r="AP11" i="1" s="1"/>
  <c r="AP52" i="1"/>
  <c r="AQ52" i="1" s="1"/>
  <c r="AQ77" i="1" s="1"/>
  <c r="AJ110" i="1"/>
  <c r="AI103" i="1"/>
  <c r="AI104" i="1" s="1"/>
  <c r="AI7" i="1"/>
  <c r="AY93" i="1"/>
  <c r="AW4" i="1"/>
  <c r="AT108" i="1"/>
  <c r="AT87" i="1"/>
  <c r="AT88" i="1" s="1"/>
  <c r="AT8" i="1"/>
  <c r="I9" i="10"/>
  <c r="AK74" i="1"/>
  <c r="AU8" i="1"/>
  <c r="AZ93" i="1"/>
  <c r="AZ5" i="1"/>
  <c r="AZ6" i="1" s="1"/>
  <c r="AZ7" i="1" s="1"/>
  <c r="AY5" i="1"/>
  <c r="AM7" i="1"/>
  <c r="AS109" i="1"/>
  <c r="AU108" i="1"/>
  <c r="AU87" i="1"/>
  <c r="AU88" i="1" s="1"/>
  <c r="BF4" i="1"/>
  <c r="AS74" i="1"/>
  <c r="BE4" i="1"/>
  <c r="BE5" i="1" s="1"/>
  <c r="AY109" i="1"/>
  <c r="AQ88" i="1"/>
  <c r="AI9" i="1"/>
  <c r="AI113" i="1" s="1"/>
  <c r="AN76" i="1"/>
  <c r="AN103" i="1"/>
  <c r="AN77" i="1"/>
  <c r="AJ77" i="1"/>
  <c r="AV38" i="1"/>
  <c r="AV52" i="1"/>
  <c r="AW52" i="1" s="1"/>
  <c r="AW77" i="1" s="1"/>
  <c r="AQ51" i="1"/>
  <c r="AS51" i="1" s="1"/>
  <c r="AQ38" i="1"/>
  <c r="AK76" i="1"/>
  <c r="AO38" i="1"/>
  <c r="AP76" i="1" s="1"/>
  <c r="AO52" i="1"/>
  <c r="AQ64" i="1"/>
  <c r="AS64" i="1" s="1"/>
  <c r="AJ76" i="1"/>
  <c r="AT38" i="1"/>
  <c r="AT52" i="1"/>
  <c r="AS38" i="1"/>
  <c r="AS52" i="1"/>
  <c r="AN11" i="1"/>
  <c r="BA4" i="1"/>
  <c r="AU93" i="1"/>
  <c r="AW93" i="1" s="1"/>
  <c r="AT6" i="1"/>
  <c r="AO11" i="1"/>
  <c r="AS6" i="1"/>
  <c r="BB5" i="1"/>
  <c r="AY74" i="1"/>
  <c r="AU36" i="1"/>
  <c r="AU5" i="1"/>
  <c r="AU52" i="1" s="1"/>
  <c r="AV6" i="1"/>
  <c r="AV7" i="1" s="1"/>
  <c r="BH4" i="1"/>
  <c r="AJ42" i="1" l="1"/>
  <c r="AK42" i="1" s="1"/>
  <c r="AM107" i="1" s="1"/>
  <c r="AM110" i="1" s="1"/>
  <c r="AM42" i="1" s="1"/>
  <c r="AN107" i="1" s="1"/>
  <c r="M20" i="9"/>
  <c r="O21" i="18"/>
  <c r="N25" i="18"/>
  <c r="AP7" i="1"/>
  <c r="AS77" i="1"/>
  <c r="BF5" i="1"/>
  <c r="BF38" i="1" s="1"/>
  <c r="Q34" i="16"/>
  <c r="Q33" i="14"/>
  <c r="S17" i="9" s="1"/>
  <c r="AM113" i="1"/>
  <c r="AY87" i="1"/>
  <c r="AY108" i="1"/>
  <c r="AQ6" i="1"/>
  <c r="AQ7" i="1" s="1"/>
  <c r="AW5" i="1"/>
  <c r="O23" i="18" s="1"/>
  <c r="O24" i="18" s="1"/>
  <c r="AW28" i="1"/>
  <c r="AV8" i="1"/>
  <c r="AW8" i="1" s="1"/>
  <c r="BA108" i="1"/>
  <c r="BA87" i="1"/>
  <c r="BA88" i="1" s="1"/>
  <c r="AZ52" i="1"/>
  <c r="AZ38" i="1"/>
  <c r="AT11" i="1"/>
  <c r="BE93" i="1"/>
  <c r="BE10" i="1"/>
  <c r="BE74" i="1" s="1"/>
  <c r="BH93" i="1"/>
  <c r="BI88" i="1" s="1"/>
  <c r="AY6" i="1"/>
  <c r="BF93" i="1"/>
  <c r="BA93" i="1"/>
  <c r="BB87" i="1" s="1"/>
  <c r="BB88" i="1" s="1"/>
  <c r="AW26" i="1"/>
  <c r="BC4" i="1"/>
  <c r="AY52" i="1"/>
  <c r="AY77" i="1" s="1"/>
  <c r="AZ108" i="1"/>
  <c r="AZ87" i="1"/>
  <c r="AZ88" i="1" s="1"/>
  <c r="AY38" i="1"/>
  <c r="AQ11" i="1"/>
  <c r="N28" i="18" s="1"/>
  <c r="AJ113" i="1"/>
  <c r="AI81" i="1"/>
  <c r="AI114" i="1"/>
  <c r="AN57" i="1"/>
  <c r="AT77" i="1"/>
  <c r="AT76" i="1"/>
  <c r="AO81" i="1"/>
  <c r="AU77" i="1"/>
  <c r="AV77" i="1"/>
  <c r="AV108" i="1"/>
  <c r="AV87" i="1"/>
  <c r="AV88" i="1" s="1"/>
  <c r="AO103" i="1"/>
  <c r="AO77" i="1"/>
  <c r="AP77" i="1"/>
  <c r="AO76" i="1"/>
  <c r="BG4" i="1"/>
  <c r="BI4" i="1" s="1"/>
  <c r="Q21" i="18" s="1"/>
  <c r="AS76" i="1"/>
  <c r="AQ76" i="1"/>
  <c r="BE38" i="1"/>
  <c r="BE52" i="1"/>
  <c r="BA36" i="1"/>
  <c r="AT51" i="1"/>
  <c r="AW38" i="1"/>
  <c r="AT7" i="1"/>
  <c r="AO57" i="1"/>
  <c r="AT64" i="1"/>
  <c r="BB38" i="1"/>
  <c r="BB52" i="1"/>
  <c r="BC52" i="1" s="1"/>
  <c r="BC77" i="1" s="1"/>
  <c r="BA5" i="1"/>
  <c r="BC5" i="1" s="1"/>
  <c r="P23" i="18" s="1"/>
  <c r="BB6" i="1"/>
  <c r="BB7" i="1" s="1"/>
  <c r="BH5" i="1"/>
  <c r="BH6" i="1" s="1"/>
  <c r="AS11" i="1"/>
  <c r="AS9" i="1" s="1"/>
  <c r="AS113" i="1" s="1"/>
  <c r="AS7" i="1"/>
  <c r="AU6" i="1"/>
  <c r="AW6" i="1" s="1"/>
  <c r="AW7" i="1" s="1"/>
  <c r="AU38" i="1"/>
  <c r="AU103" i="1" s="1"/>
  <c r="BE6" i="1"/>
  <c r="N20" i="9" l="1"/>
  <c r="P21" i="18"/>
  <c r="P24" i="18" s="1"/>
  <c r="N27" i="18"/>
  <c r="F40" i="11"/>
  <c r="N26" i="18"/>
  <c r="F41" i="11" s="1"/>
  <c r="F22" i="18"/>
  <c r="H38" i="11" s="1"/>
  <c r="Q22" i="18"/>
  <c r="O22" i="18"/>
  <c r="O25" i="18"/>
  <c r="F42" i="11"/>
  <c r="N30" i="18"/>
  <c r="F44" i="11" s="1"/>
  <c r="BC93" i="1"/>
  <c r="BB108" i="1"/>
  <c r="BF6" i="1"/>
  <c r="BF7" i="1" s="1"/>
  <c r="BF52" i="1"/>
  <c r="BF77" i="1" s="1"/>
  <c r="AV11" i="1"/>
  <c r="BI26" i="1"/>
  <c r="O20" i="9"/>
  <c r="AM57" i="1"/>
  <c r="BE87" i="1"/>
  <c r="BE108" i="1"/>
  <c r="K6" i="10"/>
  <c r="L21" i="9"/>
  <c r="AN81" i="1"/>
  <c r="AZ77" i="1"/>
  <c r="BE77" i="1"/>
  <c r="AJ114" i="1"/>
  <c r="AZ76" i="1"/>
  <c r="L11" i="10"/>
  <c r="AY88" i="1"/>
  <c r="AW87" i="1"/>
  <c r="AW88" i="1" s="1"/>
  <c r="AY8" i="1"/>
  <c r="AY11" i="1" s="1"/>
  <c r="AY9" i="1" s="1"/>
  <c r="AY113" i="1" s="1"/>
  <c r="AY7" i="1"/>
  <c r="BE109" i="1"/>
  <c r="BG93" i="1"/>
  <c r="BH108" i="1" s="1"/>
  <c r="BF108" i="1"/>
  <c r="BF87" i="1"/>
  <c r="BF88" i="1" s="1"/>
  <c r="BC26" i="1"/>
  <c r="AP57" i="1"/>
  <c r="AQ57" i="1" s="1"/>
  <c r="AP81" i="1"/>
  <c r="BG108" i="1"/>
  <c r="BG87" i="1"/>
  <c r="BG88" i="1" s="1"/>
  <c r="AI57" i="1"/>
  <c r="AI62" i="1" s="1"/>
  <c r="AJ81" i="1"/>
  <c r="AK56" i="1"/>
  <c r="K16" i="9" s="1"/>
  <c r="AK57" i="1"/>
  <c r="AI82" i="1"/>
  <c r="AI83" i="1" s="1"/>
  <c r="AI115" i="1"/>
  <c r="AI116" i="1" s="1"/>
  <c r="AS57" i="1"/>
  <c r="AY76" i="1"/>
  <c r="AU76" i="1"/>
  <c r="AT81" i="1"/>
  <c r="BG36" i="1"/>
  <c r="BG5" i="1"/>
  <c r="AU51" i="1"/>
  <c r="AT57" i="1"/>
  <c r="AV76" i="1"/>
  <c r="BA38" i="1"/>
  <c r="BA52" i="1"/>
  <c r="AW76" i="1"/>
  <c r="BH38" i="1"/>
  <c r="BH52" i="1"/>
  <c r="BI52" i="1" s="1"/>
  <c r="BF76" i="1"/>
  <c r="BA6" i="1"/>
  <c r="BC6" i="1" s="1"/>
  <c r="BC7" i="1" s="1"/>
  <c r="AU64" i="1"/>
  <c r="BC38" i="1"/>
  <c r="BE76" i="1" s="1"/>
  <c r="AU11" i="1"/>
  <c r="AU7" i="1"/>
  <c r="BH7" i="1"/>
  <c r="BE7" i="1"/>
  <c r="AM81" i="1" l="1"/>
  <c r="P22" i="18"/>
  <c r="P25" i="18"/>
  <c r="O27" i="18"/>
  <c r="O26" i="18"/>
  <c r="BI93" i="1"/>
  <c r="N11" i="10" s="1"/>
  <c r="BG52" i="1"/>
  <c r="BG77" i="1" s="1"/>
  <c r="BI5" i="1"/>
  <c r="Q23" i="18" s="1"/>
  <c r="AZ8" i="1"/>
  <c r="AZ11" i="1" s="1"/>
  <c r="BH87" i="1"/>
  <c r="BH88" i="1" s="1"/>
  <c r="BA8" i="1"/>
  <c r="BA11" i="1" s="1"/>
  <c r="M11" i="10"/>
  <c r="BE88" i="1"/>
  <c r="BC88" i="1"/>
  <c r="AW11" i="1"/>
  <c r="O28" i="18" s="1"/>
  <c r="AK81" i="1"/>
  <c r="AJ82" i="1"/>
  <c r="AJ83" i="1" s="1"/>
  <c r="BG38" i="1"/>
  <c r="BH76" i="1" s="1"/>
  <c r="BA103" i="1"/>
  <c r="BG6" i="1"/>
  <c r="BI6" i="1" s="1"/>
  <c r="BI7" i="1" s="1"/>
  <c r="BB77" i="1"/>
  <c r="BA77" i="1"/>
  <c r="AU81" i="1"/>
  <c r="BC76" i="1"/>
  <c r="BI38" i="1"/>
  <c r="AV64" i="1"/>
  <c r="BB76" i="1"/>
  <c r="BA76" i="1"/>
  <c r="AV51" i="1"/>
  <c r="AU57" i="1"/>
  <c r="AK59" i="1"/>
  <c r="AJ62" i="1"/>
  <c r="BA7" i="1"/>
  <c r="BH77" i="1" l="1"/>
  <c r="Q24" i="18"/>
  <c r="F24" i="18"/>
  <c r="Q25" i="18"/>
  <c r="P27" i="18"/>
  <c r="P26" i="18"/>
  <c r="O30" i="18"/>
  <c r="O29" i="18"/>
  <c r="M41" i="18"/>
  <c r="K15" i="9"/>
  <c r="L6" i="10"/>
  <c r="M21" i="9"/>
  <c r="BC28" i="1"/>
  <c r="BB8" i="1"/>
  <c r="BG103" i="1"/>
  <c r="AV81" i="1"/>
  <c r="AJ115" i="1"/>
  <c r="AJ116" i="1" s="1"/>
  <c r="AK13" i="1"/>
  <c r="M42" i="18" s="1"/>
  <c r="AK82" i="1"/>
  <c r="AK83" i="1" s="1"/>
  <c r="BG76" i="1"/>
  <c r="BI76" i="1"/>
  <c r="BG7" i="1"/>
  <c r="AK62" i="1"/>
  <c r="M46" i="18" s="1"/>
  <c r="AV57" i="1"/>
  <c r="AW51" i="1"/>
  <c r="AY51" i="1" s="1"/>
  <c r="AW64" i="1"/>
  <c r="AY64" i="1" s="1"/>
  <c r="D6" i="1"/>
  <c r="E6" i="1"/>
  <c r="F6" i="1"/>
  <c r="G6" i="1"/>
  <c r="I6" i="1"/>
  <c r="I11" i="1" s="1"/>
  <c r="J6" i="1"/>
  <c r="K6" i="1"/>
  <c r="L6" i="1"/>
  <c r="O6" i="1"/>
  <c r="P6" i="1"/>
  <c r="Q6" i="1"/>
  <c r="R6" i="1"/>
  <c r="S6" i="1"/>
  <c r="U6" i="1"/>
  <c r="V6" i="1"/>
  <c r="W6" i="1"/>
  <c r="X6" i="1"/>
  <c r="Y6" i="1"/>
  <c r="AA6" i="1"/>
  <c r="AB6" i="1"/>
  <c r="AC6" i="1"/>
  <c r="AD6" i="1"/>
  <c r="AE6" i="1"/>
  <c r="AG6" i="1"/>
  <c r="AH6" i="1"/>
  <c r="C6" i="1"/>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 i="2"/>
  <c r="O8" i="2"/>
  <c r="O5" i="2"/>
  <c r="O6" i="2"/>
  <c r="O7" i="2"/>
  <c r="O9" i="2"/>
  <c r="O10" i="2"/>
  <c r="O11" i="2"/>
  <c r="O12" i="2"/>
  <c r="O13" i="2"/>
  <c r="O14" i="2"/>
  <c r="O15" i="2"/>
  <c r="O16" i="2"/>
  <c r="O17" i="2"/>
  <c r="O18" i="2"/>
  <c r="O20" i="2"/>
  <c r="O21" i="2"/>
  <c r="O22" i="2"/>
  <c r="O24" i="2"/>
  <c r="O25" i="2"/>
  <c r="O26" i="2"/>
  <c r="O27" i="2"/>
  <c r="O28" i="2"/>
  <c r="O29" i="2"/>
  <c r="O30" i="2"/>
  <c r="O31" i="2"/>
  <c r="O32" i="2"/>
  <c r="O34" i="2"/>
  <c r="O35" i="2"/>
  <c r="O36" i="2"/>
  <c r="O37" i="2"/>
  <c r="O38" i="2"/>
  <c r="O39" i="2"/>
  <c r="O4" i="2"/>
  <c r="J5" i="2"/>
  <c r="J6" i="2"/>
  <c r="J7" i="2"/>
  <c r="J9" i="2"/>
  <c r="J10" i="2"/>
  <c r="J11" i="2"/>
  <c r="J12" i="2"/>
  <c r="J13" i="2"/>
  <c r="J14" i="2"/>
  <c r="J15" i="2"/>
  <c r="J16" i="2"/>
  <c r="J17" i="2"/>
  <c r="J18" i="2"/>
  <c r="J19" i="2"/>
  <c r="J20" i="2"/>
  <c r="J21" i="2"/>
  <c r="J22" i="2"/>
  <c r="J24" i="2"/>
  <c r="J25" i="2"/>
  <c r="J26" i="2"/>
  <c r="J27" i="2"/>
  <c r="J28" i="2"/>
  <c r="J29" i="2"/>
  <c r="J30" i="2"/>
  <c r="J31" i="2"/>
  <c r="J32" i="2"/>
  <c r="J34" i="2"/>
  <c r="J35" i="2"/>
  <c r="J36" i="2"/>
  <c r="J37" i="2"/>
  <c r="J38" i="2"/>
  <c r="J39" i="2"/>
  <c r="J4" i="2"/>
  <c r="E5" i="2"/>
  <c r="E6" i="2"/>
  <c r="E7" i="2"/>
  <c r="E9" i="2"/>
  <c r="E10" i="2"/>
  <c r="E11" i="2"/>
  <c r="E12" i="2"/>
  <c r="E14" i="2"/>
  <c r="E15" i="2"/>
  <c r="E16" i="2"/>
  <c r="E17" i="2"/>
  <c r="E18" i="2"/>
  <c r="E19" i="2"/>
  <c r="E20" i="2"/>
  <c r="E21" i="2"/>
  <c r="E22" i="2"/>
  <c r="E25" i="2"/>
  <c r="E26" i="2"/>
  <c r="E28" i="2"/>
  <c r="E30" i="2"/>
  <c r="E31" i="2"/>
  <c r="E32" i="2"/>
  <c r="E33" i="2"/>
  <c r="E34" i="2"/>
  <c r="E35" i="2"/>
  <c r="E36" i="2"/>
  <c r="E37" i="2"/>
  <c r="E38" i="2"/>
  <c r="E39" i="2"/>
  <c r="E4" i="2"/>
  <c r="I9" i="1" l="1"/>
  <c r="I14" i="1"/>
  <c r="D50" i="16"/>
  <c r="D24" i="16" s="1"/>
  <c r="D47" i="14"/>
  <c r="D23" i="14" s="1"/>
  <c r="Q27" i="18"/>
  <c r="Q26" i="18"/>
  <c r="F26" i="18"/>
  <c r="H40" i="11" s="1"/>
  <c r="AK6" i="1"/>
  <c r="AK7" i="1" s="1"/>
  <c r="BG8" i="1"/>
  <c r="BG11" i="1" s="1"/>
  <c r="BE8" i="1"/>
  <c r="BC8" i="1"/>
  <c r="BB11" i="1"/>
  <c r="AZ64" i="1"/>
  <c r="AW57" i="1"/>
  <c r="AZ51" i="1"/>
  <c r="AY57" i="1"/>
  <c r="L7" i="1"/>
  <c r="L11" i="1"/>
  <c r="AH7" i="1"/>
  <c r="AH11" i="1"/>
  <c r="AH14" i="1" s="1"/>
  <c r="D7" i="1"/>
  <c r="D11" i="1"/>
  <c r="J7" i="1"/>
  <c r="J11" i="1"/>
  <c r="Q7" i="1"/>
  <c r="Q11" i="1"/>
  <c r="K7" i="1"/>
  <c r="K11" i="1"/>
  <c r="AG7" i="1"/>
  <c r="AG11" i="1"/>
  <c r="AE7" i="1"/>
  <c r="AE11" i="1"/>
  <c r="F7" i="1"/>
  <c r="F11" i="1"/>
  <c r="AC7" i="1"/>
  <c r="AC11" i="1"/>
  <c r="AA7" i="1"/>
  <c r="AA11" i="1"/>
  <c r="X7" i="1"/>
  <c r="X11" i="1"/>
  <c r="R7" i="1"/>
  <c r="R11" i="1"/>
  <c r="W7" i="1"/>
  <c r="W11" i="1"/>
  <c r="O7" i="1"/>
  <c r="O11" i="1"/>
  <c r="U7" i="1"/>
  <c r="U11" i="1"/>
  <c r="P7" i="1"/>
  <c r="P11" i="1"/>
  <c r="C7" i="1"/>
  <c r="C11" i="1"/>
  <c r="C9" i="1" s="1"/>
  <c r="I7" i="1"/>
  <c r="E6" i="10"/>
  <c r="G7" i="1"/>
  <c r="G11" i="1"/>
  <c r="AD7" i="1"/>
  <c r="AD11" i="1"/>
  <c r="E7" i="1"/>
  <c r="E11" i="1"/>
  <c r="AB7" i="1"/>
  <c r="AB11" i="1"/>
  <c r="Y7" i="1"/>
  <c r="Y11" i="1"/>
  <c r="V7" i="1"/>
  <c r="V11" i="1"/>
  <c r="S7" i="1"/>
  <c r="S11" i="1"/>
  <c r="D6" i="10" l="1"/>
  <c r="D9" i="1"/>
  <c r="H6" i="10"/>
  <c r="L28" i="18"/>
  <c r="I21" i="9"/>
  <c r="I6" i="9" s="1"/>
  <c r="L57" i="18" s="1"/>
  <c r="H28" i="18"/>
  <c r="D29" i="18" s="1"/>
  <c r="G42" i="11" s="1"/>
  <c r="E21" i="9"/>
  <c r="E6" i="9" s="1"/>
  <c r="F6" i="10"/>
  <c r="J28" i="18"/>
  <c r="G21" i="9"/>
  <c r="G6" i="9" s="1"/>
  <c r="J57" i="18" s="1"/>
  <c r="I28" i="18"/>
  <c r="F21" i="9"/>
  <c r="F6" i="9" s="1"/>
  <c r="I57" i="18" s="1"/>
  <c r="D51" i="16"/>
  <c r="J21" i="9"/>
  <c r="J6" i="9" s="1"/>
  <c r="D48" i="14"/>
  <c r="G6" i="10"/>
  <c r="K28" i="18"/>
  <c r="H21" i="9"/>
  <c r="H6" i="9" s="1"/>
  <c r="K57" i="18" s="1"/>
  <c r="AK11" i="1"/>
  <c r="BC11" i="1"/>
  <c r="P28" i="18" s="1"/>
  <c r="BE11" i="1"/>
  <c r="BF8" i="1"/>
  <c r="BF11" i="1" s="1"/>
  <c r="AZ57" i="1"/>
  <c r="BA51" i="1"/>
  <c r="BA64" i="1"/>
  <c r="F9" i="1"/>
  <c r="F14" i="1"/>
  <c r="K9" i="1"/>
  <c r="K14" i="1"/>
  <c r="V9" i="1"/>
  <c r="V14" i="1"/>
  <c r="R9" i="1"/>
  <c r="R14" i="1"/>
  <c r="X9" i="1"/>
  <c r="X14" i="1"/>
  <c r="AD9" i="1"/>
  <c r="AD14" i="1"/>
  <c r="AH9" i="1"/>
  <c r="AH118" i="1" s="1"/>
  <c r="AE9" i="1"/>
  <c r="AE14" i="1"/>
  <c r="P9" i="1"/>
  <c r="P14" i="1"/>
  <c r="U9" i="1"/>
  <c r="U14" i="1"/>
  <c r="W9" i="1"/>
  <c r="W14" i="1"/>
  <c r="AB9" i="1"/>
  <c r="AB14" i="1"/>
  <c r="M9" i="1"/>
  <c r="Y9" i="1"/>
  <c r="Y14" i="1"/>
  <c r="G9" i="1"/>
  <c r="G14" i="1"/>
  <c r="L9" i="1"/>
  <c r="L14" i="1"/>
  <c r="C14" i="1"/>
  <c r="AG9" i="1"/>
  <c r="AK9" i="1" s="1"/>
  <c r="AG14" i="1"/>
  <c r="S9" i="1"/>
  <c r="S14" i="1"/>
  <c r="O9" i="1"/>
  <c r="O14" i="1"/>
  <c r="Q9" i="1"/>
  <c r="Q14" i="1"/>
  <c r="J9" i="1"/>
  <c r="J14" i="1"/>
  <c r="E9" i="1"/>
  <c r="E14" i="1"/>
  <c r="D14" i="1"/>
  <c r="AA9" i="1"/>
  <c r="AA14" i="1"/>
  <c r="AC9" i="1"/>
  <c r="AC14" i="1"/>
  <c r="H57" i="18" l="1"/>
  <c r="H31" i="18"/>
  <c r="B30" i="17"/>
  <c r="G5" i="17" s="1"/>
  <c r="E22" i="9"/>
  <c r="E7" i="9" s="1"/>
  <c r="J29" i="18"/>
  <c r="J30" i="18"/>
  <c r="I30" i="18"/>
  <c r="I29" i="18"/>
  <c r="J22" i="9"/>
  <c r="J7" i="9" s="1"/>
  <c r="D56" i="16"/>
  <c r="D26" i="16"/>
  <c r="C42" i="11"/>
  <c r="K30" i="18"/>
  <c r="C44" i="11" s="1"/>
  <c r="K29" i="18"/>
  <c r="C43" i="11" s="1"/>
  <c r="K31" i="18"/>
  <c r="E30" i="17"/>
  <c r="J5" i="17" s="1"/>
  <c r="H22" i="9"/>
  <c r="H7" i="9" s="1"/>
  <c r="K58" i="18" s="1"/>
  <c r="I31" i="18"/>
  <c r="C30" i="17"/>
  <c r="H5" i="17" s="1"/>
  <c r="F22" i="9"/>
  <c r="F7" i="9" s="1"/>
  <c r="I58" i="18" s="1"/>
  <c r="D42" i="11"/>
  <c r="L30" i="18"/>
  <c r="D44" i="11" s="1"/>
  <c r="L29" i="18"/>
  <c r="D43" i="11" s="1"/>
  <c r="L31" i="18"/>
  <c r="F30" i="17"/>
  <c r="I22" i="9"/>
  <c r="I7" i="9" s="1"/>
  <c r="L58" i="18" s="1"/>
  <c r="D53" i="14"/>
  <c r="D25" i="14"/>
  <c r="J31" i="18"/>
  <c r="D30" i="17"/>
  <c r="I5" i="17" s="1"/>
  <c r="G22" i="9"/>
  <c r="G7" i="9" s="1"/>
  <c r="J58" i="18" s="1"/>
  <c r="M31" i="18"/>
  <c r="K22" i="9"/>
  <c r="I6" i="10"/>
  <c r="M28" i="18"/>
  <c r="K21" i="9"/>
  <c r="P29" i="18"/>
  <c r="P30" i="18"/>
  <c r="M6" i="10"/>
  <c r="N21" i="9"/>
  <c r="BI28" i="1"/>
  <c r="BH8" i="1"/>
  <c r="BH11" i="1" s="1"/>
  <c r="S118" i="1"/>
  <c r="AE118" i="1"/>
  <c r="M118" i="1"/>
  <c r="BI8" i="1"/>
  <c r="BE9" i="1"/>
  <c r="BI11" i="1"/>
  <c r="Q28" i="18" s="1"/>
  <c r="G118" i="1"/>
  <c r="Y118" i="1"/>
  <c r="AK118" i="1" s="1"/>
  <c r="AK113" i="1" s="1"/>
  <c r="AK114" i="1" s="1"/>
  <c r="AM114" i="1" s="1"/>
  <c r="BG81" i="1"/>
  <c r="BB51" i="1"/>
  <c r="BA57" i="1"/>
  <c r="BB64" i="1"/>
  <c r="U17" i="1"/>
  <c r="U21" i="1" s="1"/>
  <c r="U31" i="1"/>
  <c r="AG17" i="1"/>
  <c r="AG31" i="1"/>
  <c r="C17" i="1"/>
  <c r="C73" i="1" s="1"/>
  <c r="C31" i="1"/>
  <c r="I17" i="1"/>
  <c r="I31" i="1"/>
  <c r="D17" i="1"/>
  <c r="D31" i="1"/>
  <c r="E17" i="1"/>
  <c r="E31" i="1"/>
  <c r="K17" i="1"/>
  <c r="K31" i="1"/>
  <c r="AD17" i="1"/>
  <c r="AD31" i="1"/>
  <c r="X17" i="1"/>
  <c r="X21" i="1" s="1"/>
  <c r="X31" i="1"/>
  <c r="Y17" i="1"/>
  <c r="K34" i="18" s="1"/>
  <c r="Y31" i="1"/>
  <c r="G7" i="10" s="1"/>
  <c r="G8" i="10" s="1"/>
  <c r="G12" i="10" s="1"/>
  <c r="J17" i="1"/>
  <c r="J31" i="1"/>
  <c r="L17" i="1"/>
  <c r="L31" i="1"/>
  <c r="G17" i="1"/>
  <c r="H34" i="18" s="1"/>
  <c r="G31" i="1"/>
  <c r="D7" i="10" s="1"/>
  <c r="D8" i="10" s="1"/>
  <c r="D12" i="10" s="1"/>
  <c r="O17" i="1"/>
  <c r="O21" i="1" s="1"/>
  <c r="S21" i="1" s="1"/>
  <c r="O31" i="1"/>
  <c r="F17" i="1"/>
  <c r="F31" i="1"/>
  <c r="S17" i="1"/>
  <c r="J34" i="18" s="1"/>
  <c r="S31" i="1"/>
  <c r="F7" i="10" s="1"/>
  <c r="F8" i="10" s="1"/>
  <c r="F12" i="10" s="1"/>
  <c r="P17" i="1"/>
  <c r="P21" i="1" s="1"/>
  <c r="P31" i="1"/>
  <c r="AE17" i="1"/>
  <c r="L34" i="18" s="1"/>
  <c r="AE31" i="1"/>
  <c r="H7" i="10" s="1"/>
  <c r="AC17" i="1"/>
  <c r="AC31" i="1"/>
  <c r="AH17" i="1"/>
  <c r="AH31" i="1"/>
  <c r="AA17" i="1"/>
  <c r="AA31" i="1"/>
  <c r="R17" i="1"/>
  <c r="R21" i="1" s="1"/>
  <c r="R31" i="1"/>
  <c r="I34" i="18"/>
  <c r="M31" i="1"/>
  <c r="E7" i="10" s="1"/>
  <c r="E8" i="10" s="1"/>
  <c r="E12" i="10" s="1"/>
  <c r="V17" i="1"/>
  <c r="V21" i="1" s="1"/>
  <c r="V31" i="1"/>
  <c r="Q17" i="1"/>
  <c r="Q21" i="1" s="1"/>
  <c r="Q31" i="1"/>
  <c r="AB17" i="1"/>
  <c r="AB31" i="1"/>
  <c r="W17" i="1"/>
  <c r="W21" i="1" s="1"/>
  <c r="W31" i="1"/>
  <c r="H58" i="18" l="1"/>
  <c r="AI31" i="1"/>
  <c r="Y21" i="1"/>
  <c r="C45" i="11"/>
  <c r="K63" i="18"/>
  <c r="D75" i="11" s="1"/>
  <c r="K32" i="18"/>
  <c r="C46" i="11" s="1"/>
  <c r="K33" i="18"/>
  <c r="C47" i="11" s="1"/>
  <c r="K62" i="18"/>
  <c r="D74" i="11" s="1"/>
  <c r="K50" i="18"/>
  <c r="D30" i="14"/>
  <c r="D32" i="14"/>
  <c r="D24" i="14"/>
  <c r="D29" i="14"/>
  <c r="I63" i="18"/>
  <c r="I32" i="18"/>
  <c r="I50" i="18"/>
  <c r="I62" i="18"/>
  <c r="I33" i="18"/>
  <c r="C48" i="11"/>
  <c r="K35" i="18"/>
  <c r="C49" i="11" s="1"/>
  <c r="K36" i="18"/>
  <c r="C50" i="11" s="1"/>
  <c r="K51" i="18"/>
  <c r="K52" i="18"/>
  <c r="K53" i="18"/>
  <c r="I52" i="18"/>
  <c r="I35" i="18"/>
  <c r="I51" i="18"/>
  <c r="I36" i="18"/>
  <c r="I53" i="18"/>
  <c r="J63" i="18"/>
  <c r="J62" i="18"/>
  <c r="J32" i="18"/>
  <c r="J33" i="18"/>
  <c r="J50" i="18"/>
  <c r="J35" i="18"/>
  <c r="J51" i="18"/>
  <c r="J53" i="18"/>
  <c r="J36" i="18"/>
  <c r="J52" i="18"/>
  <c r="B14" i="17"/>
  <c r="K5" i="17"/>
  <c r="D31" i="16"/>
  <c r="D34" i="16"/>
  <c r="D25" i="16"/>
  <c r="D32" i="16"/>
  <c r="D45" i="11"/>
  <c r="L63" i="18"/>
  <c r="E75" i="11" s="1"/>
  <c r="L33" i="18"/>
  <c r="D47" i="11" s="1"/>
  <c r="L50" i="18"/>
  <c r="L32" i="18"/>
  <c r="D46" i="11" s="1"/>
  <c r="L62" i="18"/>
  <c r="E74" i="11" s="1"/>
  <c r="H51" i="18"/>
  <c r="D35" i="18"/>
  <c r="G48" i="11" s="1"/>
  <c r="H53" i="18"/>
  <c r="H52" i="18"/>
  <c r="D52" i="16"/>
  <c r="D27" i="16" s="1"/>
  <c r="D49" i="14"/>
  <c r="D26" i="14" s="1"/>
  <c r="D48" i="11"/>
  <c r="L52" i="18"/>
  <c r="L51" i="18"/>
  <c r="L35" i="18"/>
  <c r="D49" i="11" s="1"/>
  <c r="L53" i="18"/>
  <c r="L36" i="18"/>
  <c r="D50" i="11" s="1"/>
  <c r="C15" i="17"/>
  <c r="D15" i="17"/>
  <c r="B15" i="17"/>
  <c r="H63" i="18"/>
  <c r="H50" i="18"/>
  <c r="H62" i="18"/>
  <c r="D32" i="18"/>
  <c r="G45" i="11" s="1"/>
  <c r="E42" i="11"/>
  <c r="M29" i="18"/>
  <c r="E43" i="11" s="1"/>
  <c r="M30" i="18"/>
  <c r="E44" i="11" s="1"/>
  <c r="N29" i="18"/>
  <c r="F43" i="11" s="1"/>
  <c r="E45" i="11"/>
  <c r="M63" i="18"/>
  <c r="F75" i="11" s="1"/>
  <c r="M33" i="18"/>
  <c r="E47" i="11" s="1"/>
  <c r="M32" i="18"/>
  <c r="E46" i="11" s="1"/>
  <c r="M50" i="18"/>
  <c r="M62" i="18"/>
  <c r="F74" i="11" s="1"/>
  <c r="Q29" i="18"/>
  <c r="F29" i="18"/>
  <c r="H42" i="11" s="1"/>
  <c r="Q30" i="18"/>
  <c r="N6" i="10"/>
  <c r="O21" i="9"/>
  <c r="BH81" i="1"/>
  <c r="AW118" i="1"/>
  <c r="BI118" i="1"/>
  <c r="BC118" i="1"/>
  <c r="BC56" i="1"/>
  <c r="BB81" i="1"/>
  <c r="BE113" i="1"/>
  <c r="AQ118" i="1"/>
  <c r="I22" i="10"/>
  <c r="H8" i="10"/>
  <c r="H12" i="10" s="1"/>
  <c r="C21" i="1"/>
  <c r="BC64" i="1"/>
  <c r="BE64" i="1" s="1"/>
  <c r="BB57" i="1"/>
  <c r="BC51" i="1"/>
  <c r="BE51" i="1" s="1"/>
  <c r="AH21" i="1"/>
  <c r="AH73" i="1"/>
  <c r="AH78" i="1" s="1"/>
  <c r="AH90" i="1" s="1"/>
  <c r="M73" i="1"/>
  <c r="I21" i="1"/>
  <c r="M21" i="1" s="1"/>
  <c r="I73" i="1"/>
  <c r="AD21" i="1"/>
  <c r="AD73" i="1"/>
  <c r="W73" i="1"/>
  <c r="S73" i="1"/>
  <c r="D21" i="1"/>
  <c r="D73" i="1"/>
  <c r="L21" i="1"/>
  <c r="L73" i="1"/>
  <c r="AG21" i="1"/>
  <c r="AG73" i="1"/>
  <c r="X73" i="1"/>
  <c r="P73" i="1"/>
  <c r="AB21" i="1"/>
  <c r="AB73" i="1"/>
  <c r="F21" i="1"/>
  <c r="F73" i="1"/>
  <c r="Y73" i="1"/>
  <c r="AC21" i="1"/>
  <c r="AC73" i="1"/>
  <c r="AE21" i="1"/>
  <c r="AE73" i="1"/>
  <c r="K21" i="1"/>
  <c r="K73" i="1"/>
  <c r="E21" i="1"/>
  <c r="E73" i="1"/>
  <c r="Q73" i="1"/>
  <c r="V73" i="1"/>
  <c r="O73" i="1"/>
  <c r="G73" i="1"/>
  <c r="R73" i="1"/>
  <c r="AA21" i="1"/>
  <c r="AA73" i="1"/>
  <c r="J21" i="1"/>
  <c r="J73" i="1"/>
  <c r="U73" i="1"/>
  <c r="G21" i="1" l="1"/>
  <c r="J37" i="18"/>
  <c r="D33" i="17"/>
  <c r="I6" i="17" s="1"/>
  <c r="G19" i="9"/>
  <c r="G5" i="9" s="1"/>
  <c r="J56" i="18" s="1"/>
  <c r="G57" i="11"/>
  <c r="F56" i="11"/>
  <c r="D53" i="16"/>
  <c r="D17" i="16" s="1"/>
  <c r="J19" i="9"/>
  <c r="J5" i="9" s="1"/>
  <c r="D50" i="14"/>
  <c r="D17" i="14" s="1"/>
  <c r="F67" i="11" s="1"/>
  <c r="E55" i="11"/>
  <c r="E62" i="11"/>
  <c r="F57" i="11"/>
  <c r="C14" i="17"/>
  <c r="B16" i="17"/>
  <c r="B19" i="17" s="1"/>
  <c r="B21" i="17" s="1"/>
  <c r="G10" i="17" s="1"/>
  <c r="D62" i="11"/>
  <c r="D55" i="11"/>
  <c r="D57" i="11"/>
  <c r="D56" i="11"/>
  <c r="K37" i="18"/>
  <c r="K38" i="18" s="1"/>
  <c r="H57" i="11"/>
  <c r="E33" i="17"/>
  <c r="J6" i="17" s="1"/>
  <c r="H19" i="9"/>
  <c r="H5" i="9" s="1"/>
  <c r="K56" i="18" s="1"/>
  <c r="H37" i="18"/>
  <c r="B33" i="17"/>
  <c r="G6" i="17" s="1"/>
  <c r="E19" i="9"/>
  <c r="E5" i="9" s="1"/>
  <c r="E56" i="11"/>
  <c r="I37" i="18"/>
  <c r="I38" i="18" s="1"/>
  <c r="C33" i="17"/>
  <c r="H6" i="17" s="1"/>
  <c r="F19" i="9"/>
  <c r="F5" i="9" s="1"/>
  <c r="I56" i="18" s="1"/>
  <c r="E57" i="11"/>
  <c r="L37" i="18"/>
  <c r="H56" i="11"/>
  <c r="F33" i="17"/>
  <c r="I19" i="9"/>
  <c r="I5" i="9" s="1"/>
  <c r="L56" i="18" s="1"/>
  <c r="G56" i="11"/>
  <c r="BC81" i="1"/>
  <c r="N16" i="9"/>
  <c r="AM82" i="1"/>
  <c r="AV31" i="1"/>
  <c r="AM31" i="1"/>
  <c r="BE31" i="1"/>
  <c r="BA31" i="1"/>
  <c r="BB31" i="1"/>
  <c r="AN31" i="1"/>
  <c r="AJ31" i="1"/>
  <c r="AY31" i="1"/>
  <c r="AS31" i="1"/>
  <c r="AU31" i="1"/>
  <c r="AO31" i="1"/>
  <c r="AP31" i="1"/>
  <c r="BF31" i="1"/>
  <c r="BG31" i="1"/>
  <c r="BH31" i="1"/>
  <c r="AZ31" i="1"/>
  <c r="AT31" i="1"/>
  <c r="BE81" i="1"/>
  <c r="BF81" i="1"/>
  <c r="AM62" i="1"/>
  <c r="AM83" i="1"/>
  <c r="BF51" i="1"/>
  <c r="BE57" i="1"/>
  <c r="BC57" i="1"/>
  <c r="BF64" i="1"/>
  <c r="H56" i="18" l="1"/>
  <c r="L38" i="18"/>
  <c r="AJ16" i="1"/>
  <c r="AJ17" i="1" s="1"/>
  <c r="AK31" i="1"/>
  <c r="I7" i="10" s="1"/>
  <c r="D38" i="18"/>
  <c r="D14" i="17"/>
  <c r="D16" i="17" s="1"/>
  <c r="D19" i="17" s="1"/>
  <c r="D21" i="17" s="1"/>
  <c r="I10" i="17" s="1"/>
  <c r="C16" i="17"/>
  <c r="C19" i="17" s="1"/>
  <c r="C21" i="17" s="1"/>
  <c r="H10" i="17" s="1"/>
  <c r="B25" i="17"/>
  <c r="D25" i="17"/>
  <c r="C25" i="17"/>
  <c r="B24" i="17"/>
  <c r="K6" i="17"/>
  <c r="J38" i="18"/>
  <c r="S20" i="9"/>
  <c r="Q39" i="16"/>
  <c r="BI31" i="1"/>
  <c r="AW31" i="1"/>
  <c r="BC31" i="1"/>
  <c r="AQ31" i="1"/>
  <c r="AN62" i="1"/>
  <c r="AN82" i="1"/>
  <c r="AN83" i="1" s="1"/>
  <c r="BG64" i="1"/>
  <c r="BG51" i="1"/>
  <c r="BF57" i="1"/>
  <c r="J7" i="10" l="1"/>
  <c r="J8" i="10" s="1"/>
  <c r="I8" i="10"/>
  <c r="K7" i="10"/>
  <c r="K8" i="10" s="1"/>
  <c r="C24" i="17"/>
  <c r="B26" i="17"/>
  <c r="G11" i="17" s="1"/>
  <c r="I15" i="17" s="1"/>
  <c r="L7" i="10"/>
  <c r="M7" i="10" s="1"/>
  <c r="AO62" i="1"/>
  <c r="AO82" i="1"/>
  <c r="AO83" i="1" s="1"/>
  <c r="BH51" i="1"/>
  <c r="BG57" i="1"/>
  <c r="BH64" i="1"/>
  <c r="I16" i="17" l="1"/>
  <c r="J15" i="17"/>
  <c r="C26" i="17"/>
  <c r="H11" i="17" s="1"/>
  <c r="D24" i="17"/>
  <c r="D26" i="17" s="1"/>
  <c r="I11" i="17" s="1"/>
  <c r="G15" i="17" s="1"/>
  <c r="G16" i="17" s="1"/>
  <c r="L8" i="10"/>
  <c r="AP82" i="1"/>
  <c r="AP83" i="1" s="1"/>
  <c r="AQ13" i="1"/>
  <c r="N42" i="18" s="1"/>
  <c r="BI51" i="1"/>
  <c r="BH57" i="1"/>
  <c r="BI64" i="1"/>
  <c r="AQ59" i="1"/>
  <c r="AP62" i="1"/>
  <c r="O5" i="17" l="1"/>
  <c r="O6" i="17" s="1"/>
  <c r="H15" i="17"/>
  <c r="H16" i="17" s="1"/>
  <c r="L15" i="9"/>
  <c r="N41" i="18"/>
  <c r="N7" i="10"/>
  <c r="N8" i="10" s="1"/>
  <c r="M8" i="10"/>
  <c r="AQ82" i="1"/>
  <c r="AS62" i="1"/>
  <c r="AS82" i="1"/>
  <c r="AQ62" i="1"/>
  <c r="N46" i="18" s="1"/>
  <c r="BI57" i="1"/>
  <c r="AT62" i="1" l="1"/>
  <c r="AT82" i="1"/>
  <c r="AT83" i="1" s="1"/>
  <c r="AO115" i="1"/>
  <c r="AU62" i="1" l="1"/>
  <c r="AU82" i="1"/>
  <c r="AU83" i="1" s="1"/>
  <c r="AM14" i="1"/>
  <c r="AM115" i="1"/>
  <c r="AM116" i="1" s="1"/>
  <c r="AK115" i="1"/>
  <c r="AK116" i="1" s="1"/>
  <c r="AP14" i="1"/>
  <c r="AP115" i="1"/>
  <c r="AN14" i="1"/>
  <c r="AN115" i="1"/>
  <c r="AS115" i="1"/>
  <c r="AT115" i="1"/>
  <c r="AO14" i="1"/>
  <c r="AI14" i="1"/>
  <c r="AK14" i="1" s="1"/>
  <c r="AQ14" i="1" l="1"/>
  <c r="AV82" i="1"/>
  <c r="AV83" i="1" s="1"/>
  <c r="AM16" i="1"/>
  <c r="AM17" i="1" s="1"/>
  <c r="AN16" i="1"/>
  <c r="AN17" i="1" s="1"/>
  <c r="AJ73" i="1"/>
  <c r="AP16" i="1"/>
  <c r="AP17" i="1" s="1"/>
  <c r="AI16" i="1"/>
  <c r="AO16" i="1"/>
  <c r="AQ115" i="1"/>
  <c r="AW59" i="1"/>
  <c r="AV62" i="1"/>
  <c r="AU115" i="1"/>
  <c r="AU14" i="1"/>
  <c r="AT14" i="1"/>
  <c r="AS14" i="1"/>
  <c r="M15" i="9" l="1"/>
  <c r="O41" i="18"/>
  <c r="AM73" i="1"/>
  <c r="AY115" i="1"/>
  <c r="AV115" i="1"/>
  <c r="AW13" i="1"/>
  <c r="O42" i="18" s="1"/>
  <c r="AO17" i="1"/>
  <c r="AQ17" i="1" s="1"/>
  <c r="N34" i="18" s="1"/>
  <c r="F48" i="11" s="1"/>
  <c r="AQ16" i="1"/>
  <c r="AI17" i="1"/>
  <c r="AK16" i="1"/>
  <c r="AV14" i="1"/>
  <c r="AV16" i="1" s="1"/>
  <c r="AV17" i="1" s="1"/>
  <c r="AW82" i="1"/>
  <c r="AN73" i="1"/>
  <c r="AT16" i="1"/>
  <c r="AT17" i="1" s="1"/>
  <c r="AS16" i="1"/>
  <c r="AS17" i="1" s="1"/>
  <c r="AP73" i="1"/>
  <c r="AU16" i="1"/>
  <c r="AY62" i="1"/>
  <c r="AY82" i="1"/>
  <c r="AW62" i="1"/>
  <c r="O46" i="18" s="1"/>
  <c r="AZ115" i="1"/>
  <c r="AY14" i="1"/>
  <c r="AI66" i="1" l="1"/>
  <c r="AI73" i="1"/>
  <c r="AK17" i="1"/>
  <c r="M34" i="18" s="1"/>
  <c r="E48" i="11" s="1"/>
  <c r="AK73" i="1"/>
  <c r="AW115" i="1"/>
  <c r="N51" i="18"/>
  <c r="N36" i="18"/>
  <c r="F50" i="11" s="1"/>
  <c r="M35" i="18"/>
  <c r="E49" i="11" s="1"/>
  <c r="N35" i="18"/>
  <c r="F49" i="11" s="1"/>
  <c r="M36" i="18"/>
  <c r="E50" i="11" s="1"/>
  <c r="M51" i="18"/>
  <c r="Q36" i="14"/>
  <c r="Q37" i="16"/>
  <c r="AZ14" i="1"/>
  <c r="AZ16" i="1" s="1"/>
  <c r="AZ17" i="1" s="1"/>
  <c r="AI78" i="1"/>
  <c r="AW14" i="1"/>
  <c r="AO73" i="1"/>
  <c r="AU17" i="1"/>
  <c r="AW17" i="1" s="1"/>
  <c r="O34" i="18" s="1"/>
  <c r="AW16" i="1"/>
  <c r="AS73" i="1"/>
  <c r="AT73" i="1"/>
  <c r="AQ73" i="1"/>
  <c r="AY16" i="1"/>
  <c r="AY17" i="1" s="1"/>
  <c r="AV73" i="1"/>
  <c r="AZ62" i="1"/>
  <c r="AZ82" i="1"/>
  <c r="AJ66" i="1" l="1"/>
  <c r="AI67" i="1"/>
  <c r="AI68" i="1" s="1"/>
  <c r="O36" i="18"/>
  <c r="O51" i="18"/>
  <c r="O35" i="18"/>
  <c r="AI90" i="1"/>
  <c r="AI35" i="1" s="1"/>
  <c r="AU73" i="1"/>
  <c r="BA115" i="1"/>
  <c r="BA14" i="1"/>
  <c r="AW73" i="1"/>
  <c r="AY73" i="1"/>
  <c r="AZ73" i="1"/>
  <c r="BA62" i="1"/>
  <c r="BA82" i="1"/>
  <c r="D46" i="16"/>
  <c r="AJ67" i="1" l="1"/>
  <c r="AK66" i="1"/>
  <c r="AM66" i="1" s="1"/>
  <c r="D36" i="16"/>
  <c r="D35" i="16"/>
  <c r="D28" i="16"/>
  <c r="D15" i="16"/>
  <c r="D21" i="16" s="1"/>
  <c r="D43" i="16"/>
  <c r="AI41" i="1"/>
  <c r="AI49" i="1" s="1"/>
  <c r="AI69" i="1" s="1"/>
  <c r="D40" i="14"/>
  <c r="D43" i="14"/>
  <c r="BA16" i="1"/>
  <c r="BA17" i="1" s="1"/>
  <c r="BB82" i="1"/>
  <c r="BB83" i="1" s="1"/>
  <c r="BC13" i="1"/>
  <c r="P42" i="18" s="1"/>
  <c r="BC59" i="1"/>
  <c r="BB62" i="1"/>
  <c r="AN66" i="1" l="1"/>
  <c r="AM67" i="1"/>
  <c r="AM68" i="1" s="1"/>
  <c r="AJ68" i="1"/>
  <c r="AK68" i="1" s="1"/>
  <c r="AK67" i="1"/>
  <c r="M47" i="18" s="1"/>
  <c r="M52" i="18" s="1"/>
  <c r="N15" i="9"/>
  <c r="P41" i="18"/>
  <c r="D33" i="16"/>
  <c r="D45" i="16"/>
  <c r="D27" i="14"/>
  <c r="D15" i="14"/>
  <c r="D21" i="14" s="1"/>
  <c r="D33" i="14"/>
  <c r="D34" i="14"/>
  <c r="D42" i="14"/>
  <c r="D31" i="14"/>
  <c r="BA73" i="1"/>
  <c r="BB115" i="1"/>
  <c r="BB14" i="1"/>
  <c r="BC82" i="1"/>
  <c r="BC83" i="1" s="1"/>
  <c r="BC62" i="1"/>
  <c r="P46" i="18" s="1"/>
  <c r="D18" i="14" l="1"/>
  <c r="AO66" i="1"/>
  <c r="AN67" i="1"/>
  <c r="AN68" i="1" s="1"/>
  <c r="D18" i="16"/>
  <c r="D19" i="16"/>
  <c r="G67" i="11"/>
  <c r="D19" i="14"/>
  <c r="H67" i="11" s="1"/>
  <c r="BB16" i="1"/>
  <c r="BC16" i="1" s="1"/>
  <c r="BC14" i="1"/>
  <c r="BC115" i="1"/>
  <c r="BE14" i="1"/>
  <c r="BE115" i="1"/>
  <c r="BE62" i="1"/>
  <c r="BE82" i="1"/>
  <c r="BE83" i="1" s="1"/>
  <c r="AP66" i="1" l="1"/>
  <c r="AO67" i="1"/>
  <c r="AO68" i="1" s="1"/>
  <c r="BB17" i="1"/>
  <c r="BE16" i="1"/>
  <c r="BE17" i="1" s="1"/>
  <c r="BF14" i="1"/>
  <c r="BF16" i="1" s="1"/>
  <c r="BF17" i="1" s="1"/>
  <c r="BF115" i="1"/>
  <c r="BF62" i="1"/>
  <c r="BF82" i="1"/>
  <c r="BF83" i="1" s="1"/>
  <c r="AP67" i="1" l="1"/>
  <c r="AQ66" i="1"/>
  <c r="AS66" i="1" s="1"/>
  <c r="BE73" i="1"/>
  <c r="BC17" i="1"/>
  <c r="BB73" i="1"/>
  <c r="BG14" i="1"/>
  <c r="BG16" i="1" s="1"/>
  <c r="BG115" i="1"/>
  <c r="BF73" i="1"/>
  <c r="BG62" i="1"/>
  <c r="BG82" i="1"/>
  <c r="BG83" i="1" s="1"/>
  <c r="AT66" i="1" l="1"/>
  <c r="AS67" i="1"/>
  <c r="AS68" i="1" s="1"/>
  <c r="AP68" i="1"/>
  <c r="AQ68" i="1" s="1"/>
  <c r="AQ67" i="1"/>
  <c r="N47" i="18" s="1"/>
  <c r="N52" i="18" s="1"/>
  <c r="BC73" i="1"/>
  <c r="BC90" i="1" s="1"/>
  <c r="P34" i="18"/>
  <c r="BG17" i="1"/>
  <c r="BH82" i="1"/>
  <c r="BH83" i="1" s="1"/>
  <c r="BI13" i="1"/>
  <c r="Q42" i="18" s="1"/>
  <c r="BI59" i="1"/>
  <c r="BH62" i="1"/>
  <c r="AU66" i="1" l="1"/>
  <c r="AT67" i="1"/>
  <c r="AT68" i="1" s="1"/>
  <c r="O15" i="9"/>
  <c r="Q41" i="18"/>
  <c r="P51" i="18"/>
  <c r="P36" i="18"/>
  <c r="P35" i="18"/>
  <c r="BG73" i="1"/>
  <c r="BI82" i="1"/>
  <c r="BH14" i="1"/>
  <c r="BH115" i="1"/>
  <c r="BI62" i="1"/>
  <c r="Q46" i="18" s="1"/>
  <c r="AV66" i="1" l="1"/>
  <c r="AU67" i="1"/>
  <c r="AU68" i="1" s="1"/>
  <c r="BH16" i="1"/>
  <c r="BH17" i="1" s="1"/>
  <c r="BI14" i="1"/>
  <c r="BI115" i="1"/>
  <c r="AW66" i="1" l="1"/>
  <c r="AY66" i="1" s="1"/>
  <c r="AV67" i="1"/>
  <c r="BI16" i="1"/>
  <c r="BI17" i="1"/>
  <c r="BH73" i="1"/>
  <c r="AW67" i="1" l="1"/>
  <c r="O47" i="18" s="1"/>
  <c r="O52" i="18" s="1"/>
  <c r="AV68" i="1"/>
  <c r="AW68" i="1" s="1"/>
  <c r="AZ66" i="1"/>
  <c r="AY67" i="1"/>
  <c r="AY68" i="1" s="1"/>
  <c r="BI73" i="1"/>
  <c r="Q34" i="18"/>
  <c r="BA66" i="1" l="1"/>
  <c r="AZ67" i="1"/>
  <c r="AZ68" i="1" s="1"/>
  <c r="Q51" i="18"/>
  <c r="Q36" i="18"/>
  <c r="F35" i="18"/>
  <c r="H48" i="11" s="1"/>
  <c r="Q35" i="18"/>
  <c r="BB66" i="1" l="1"/>
  <c r="BA67" i="1"/>
  <c r="BA68" i="1" s="1"/>
  <c r="BC66" i="1" l="1"/>
  <c r="BE66" i="1" s="1"/>
  <c r="BB67" i="1"/>
  <c r="BC67" i="1" l="1"/>
  <c r="P47" i="18" s="1"/>
  <c r="P52" i="18" s="1"/>
  <c r="BB68" i="1"/>
  <c r="BC68" i="1" s="1"/>
  <c r="BF66" i="1"/>
  <c r="BE67" i="1"/>
  <c r="BE68" i="1" s="1"/>
  <c r="BF67" i="1" l="1"/>
  <c r="BF68" i="1" s="1"/>
  <c r="BG66" i="1"/>
  <c r="AM97" i="1"/>
  <c r="AM36" i="1" s="1"/>
  <c r="AJ36" i="1"/>
  <c r="AJ75" i="1" s="1"/>
  <c r="AJ78" i="1" s="1"/>
  <c r="AJ90" i="1" s="1"/>
  <c r="AJ35" i="1" s="1"/>
  <c r="AJ41" i="1" l="1"/>
  <c r="AJ49" i="1" s="1"/>
  <c r="BH66" i="1"/>
  <c r="BG67" i="1"/>
  <c r="BG68" i="1" s="1"/>
  <c r="AS97" i="1"/>
  <c r="AS36" i="1" s="1"/>
  <c r="AS103" i="1" s="1"/>
  <c r="AV97" i="1"/>
  <c r="AJ103" i="1"/>
  <c r="AJ104" i="1" s="1"/>
  <c r="J10" i="10" s="1"/>
  <c r="J12" i="10" s="1"/>
  <c r="J15" i="10" s="1"/>
  <c r="AK36" i="1"/>
  <c r="AK103" i="1" s="1"/>
  <c r="AK104" i="1" s="1"/>
  <c r="I10" i="10" s="1"/>
  <c r="I12" i="10" s="1"/>
  <c r="AK35" i="1"/>
  <c r="AM103" i="1"/>
  <c r="AN75" i="1"/>
  <c r="AP36" i="1"/>
  <c r="BI66" i="1" l="1"/>
  <c r="BH67" i="1"/>
  <c r="AK75" i="1"/>
  <c r="AV36" i="1"/>
  <c r="BB97" i="1"/>
  <c r="AM75" i="1"/>
  <c r="AM78" i="1" s="1"/>
  <c r="AM90" i="1" s="1"/>
  <c r="AM35" i="1" s="1"/>
  <c r="AT97" i="1"/>
  <c r="K17" i="9"/>
  <c r="AQ36" i="1"/>
  <c r="AQ75" i="1" s="1"/>
  <c r="AP75" i="1"/>
  <c r="AP103" i="1"/>
  <c r="AK41" i="1"/>
  <c r="M64" i="18" s="1"/>
  <c r="F76" i="11" s="1"/>
  <c r="BI67" i="1" l="1"/>
  <c r="Q47" i="18" s="1"/>
  <c r="Q52" i="18" s="1"/>
  <c r="BH68" i="1"/>
  <c r="BI68" i="1" s="1"/>
  <c r="BH97" i="1"/>
  <c r="BH36" i="1" s="1"/>
  <c r="BB36" i="1"/>
  <c r="AV103" i="1"/>
  <c r="AW36" i="1"/>
  <c r="AV75" i="1"/>
  <c r="AZ97" i="1"/>
  <c r="AT36" i="1"/>
  <c r="AY97" i="1"/>
  <c r="AK49" i="1"/>
  <c r="AJ69" i="1"/>
  <c r="AQ103" i="1"/>
  <c r="AQ104" i="1" s="1"/>
  <c r="K10" i="10" s="1"/>
  <c r="AS75" i="1"/>
  <c r="AS78" i="1" s="1"/>
  <c r="AM41" i="1"/>
  <c r="AM49" i="1" s="1"/>
  <c r="AM69" i="1" s="1"/>
  <c r="AK69" i="1" l="1"/>
  <c r="M45" i="18"/>
  <c r="M53" i="18" s="1"/>
  <c r="BE97" i="1"/>
  <c r="BE36" i="1" s="1"/>
  <c r="AY36" i="1"/>
  <c r="AY75" i="1" s="1"/>
  <c r="AY78" i="1" s="1"/>
  <c r="AT75" i="1"/>
  <c r="AT103" i="1"/>
  <c r="AU75" i="1"/>
  <c r="BF97" i="1"/>
  <c r="BF36" i="1" s="1"/>
  <c r="AZ36" i="1"/>
  <c r="BC36" i="1"/>
  <c r="BC75" i="1" s="1"/>
  <c r="BB103" i="1"/>
  <c r="BB75" i="1"/>
  <c r="AW75" i="1"/>
  <c r="AW103" i="1"/>
  <c r="AW104" i="1" s="1"/>
  <c r="L10" i="10" s="1"/>
  <c r="BI36" i="1"/>
  <c r="BI103" i="1" s="1"/>
  <c r="BH103" i="1"/>
  <c r="BH75" i="1"/>
  <c r="BI75" i="1" l="1"/>
  <c r="AY103" i="1"/>
  <c r="AZ75" i="1"/>
  <c r="BC103" i="1"/>
  <c r="BC104" i="1" s="1"/>
  <c r="M10" i="10" s="1"/>
  <c r="BE75" i="1"/>
  <c r="BE78" i="1" s="1"/>
  <c r="BE90" i="1" s="1"/>
  <c r="AZ103" i="1"/>
  <c r="BA75" i="1"/>
  <c r="BF103" i="1"/>
  <c r="BG75" i="1"/>
  <c r="BE103" i="1"/>
  <c r="BF75" i="1"/>
  <c r="BI104" i="1" l="1"/>
  <c r="N10" i="10" s="1"/>
  <c r="AZ81" i="1" l="1"/>
  <c r="AZ83" i="1" s="1"/>
  <c r="AW56" i="1"/>
  <c r="BI56" i="1"/>
  <c r="AQ56" i="1"/>
  <c r="BA81" i="1"/>
  <c r="BA83" i="1" s="1"/>
  <c r="BH10" i="1"/>
  <c r="BH109" i="1" s="1"/>
  <c r="AP10" i="1"/>
  <c r="AP74" i="1" s="1"/>
  <c r="AP78" i="1" s="1"/>
  <c r="AP90" i="1" s="1"/>
  <c r="AU10" i="1"/>
  <c r="AU74" i="1" s="1"/>
  <c r="AU78" i="1" s="1"/>
  <c r="AU90" i="1" s="1"/>
  <c r="AO10" i="1"/>
  <c r="AO9" i="1" s="1"/>
  <c r="AV10" i="1"/>
  <c r="AP109" i="1" l="1"/>
  <c r="AU109" i="1"/>
  <c r="L16" i="9"/>
  <c r="AS81" i="1"/>
  <c r="AS83" i="1" s="1"/>
  <c r="AS90" i="1" s="1"/>
  <c r="AQ81" i="1"/>
  <c r="AQ83" i="1" s="1"/>
  <c r="AQ90" i="1" s="1"/>
  <c r="AW81" i="1"/>
  <c r="AW83" i="1" s="1"/>
  <c r="AY81" i="1"/>
  <c r="AY83" i="1" s="1"/>
  <c r="AY90" i="1" s="1"/>
  <c r="BI81" i="1"/>
  <c r="BI83" i="1" s="1"/>
  <c r="O16" i="9"/>
  <c r="M16" i="9"/>
  <c r="AV9" i="1"/>
  <c r="AV113" i="1" s="1"/>
  <c r="AV109" i="1"/>
  <c r="AV74" i="1"/>
  <c r="AV78" i="1" s="1"/>
  <c r="AV90" i="1" s="1"/>
  <c r="AP9" i="1"/>
  <c r="AP113" i="1" s="1"/>
  <c r="AO74" i="1"/>
  <c r="AO78" i="1" s="1"/>
  <c r="AO90" i="1" s="1"/>
  <c r="AO113" i="1"/>
  <c r="AU9" i="1"/>
  <c r="AU113" i="1" s="1"/>
  <c r="BB10" i="1"/>
  <c r="BG10" i="1"/>
  <c r="BA10" i="1"/>
  <c r="BH74" i="1"/>
  <c r="BH78" i="1" s="1"/>
  <c r="BH90" i="1" s="1"/>
  <c r="BH9" i="1"/>
  <c r="BH113" i="1" s="1"/>
  <c r="AO109" i="1"/>
  <c r="BB9" i="1" l="1"/>
  <c r="BB113" i="1" s="1"/>
  <c r="BB74" i="1"/>
  <c r="BB78" i="1" s="1"/>
  <c r="BB90" i="1" s="1"/>
  <c r="BB109" i="1"/>
  <c r="BG9" i="1"/>
  <c r="BG113" i="1" s="1"/>
  <c r="BG109" i="1"/>
  <c r="BG74" i="1"/>
  <c r="BG78" i="1" s="1"/>
  <c r="BG90" i="1" s="1"/>
  <c r="BA9" i="1"/>
  <c r="BA113" i="1" s="1"/>
  <c r="BA109" i="1"/>
  <c r="BA74" i="1"/>
  <c r="BA78" i="1" s="1"/>
  <c r="BA90" i="1" s="1"/>
  <c r="AN10" i="1"/>
  <c r="AQ10" i="1" s="1"/>
  <c r="K9" i="10" s="1"/>
  <c r="K12" i="10" s="1"/>
  <c r="AN9" i="1" l="1"/>
  <c r="Q35" i="16" s="1"/>
  <c r="Q34" i="14"/>
  <c r="S18" i="9" s="1"/>
  <c r="AN74" i="1"/>
  <c r="AN78" i="1" s="1"/>
  <c r="AN90" i="1" s="1"/>
  <c r="AN35" i="1" s="1"/>
  <c r="AN41" i="1" s="1"/>
  <c r="AQ9" i="1"/>
  <c r="N31" i="18" s="1"/>
  <c r="F45" i="11" s="1"/>
  <c r="AN113" i="1"/>
  <c r="AN114" i="1" s="1"/>
  <c r="AO114" i="1" s="1"/>
  <c r="AN109" i="1"/>
  <c r="AN110" i="1" s="1"/>
  <c r="AN42" i="1" s="1"/>
  <c r="AO107" i="1" s="1"/>
  <c r="AO110" i="1" s="1"/>
  <c r="AO42" i="1" s="1"/>
  <c r="AP107" i="1" s="1"/>
  <c r="AP110" i="1" s="1"/>
  <c r="AP42" i="1" s="1"/>
  <c r="AQ42" i="1" s="1"/>
  <c r="AS107" i="1" s="1"/>
  <c r="AS110" i="1" s="1"/>
  <c r="AS42" i="1" s="1"/>
  <c r="AT107" i="1" s="1"/>
  <c r="K15" i="10"/>
  <c r="AQ74" i="1"/>
  <c r="AT10" i="1"/>
  <c r="AW10" i="1" s="1"/>
  <c r="AZ10" i="1"/>
  <c r="BF10" i="1"/>
  <c r="N50" i="18"/>
  <c r="N33" i="18"/>
  <c r="F47" i="11" s="1"/>
  <c r="AQ113" i="1"/>
  <c r="AN49" i="1" l="1"/>
  <c r="AN69" i="1" s="1"/>
  <c r="AO35" i="1"/>
  <c r="AO41" i="1" s="1"/>
  <c r="AO49" i="1" s="1"/>
  <c r="AO69" i="1" s="1"/>
  <c r="Q37" i="14"/>
  <c r="S19" i="9" s="1"/>
  <c r="S21" i="9" s="1"/>
  <c r="N62" i="18"/>
  <c r="G74" i="11" s="1"/>
  <c r="N32" i="18"/>
  <c r="F46" i="11" s="1"/>
  <c r="N63" i="18"/>
  <c r="G75" i="11" s="1"/>
  <c r="L22" i="9"/>
  <c r="AO116" i="1"/>
  <c r="AP114" i="1"/>
  <c r="AP116" i="1" s="1"/>
  <c r="AN116" i="1"/>
  <c r="AT74" i="1"/>
  <c r="AT78" i="1" s="1"/>
  <c r="AT90" i="1" s="1"/>
  <c r="AT109" i="1"/>
  <c r="AT110" i="1" s="1"/>
  <c r="AT42" i="1" s="1"/>
  <c r="AU107" i="1" s="1"/>
  <c r="AU110" i="1" s="1"/>
  <c r="AU42" i="1" s="1"/>
  <c r="AV107" i="1" s="1"/>
  <c r="AV110" i="1" s="1"/>
  <c r="AV42" i="1" s="1"/>
  <c r="AW42" i="1" s="1"/>
  <c r="AY107" i="1" s="1"/>
  <c r="AY110" i="1" s="1"/>
  <c r="AY42" i="1" s="1"/>
  <c r="AZ107" i="1" s="1"/>
  <c r="AT9" i="1"/>
  <c r="BI10" i="1"/>
  <c r="BF109" i="1"/>
  <c r="BF74" i="1"/>
  <c r="BF78" i="1" s="1"/>
  <c r="BF90" i="1" s="1"/>
  <c r="BF9" i="1"/>
  <c r="AZ9" i="1"/>
  <c r="AZ74" i="1"/>
  <c r="AZ78" i="1" s="1"/>
  <c r="AZ90" i="1" s="1"/>
  <c r="BC10" i="1"/>
  <c r="AZ109" i="1"/>
  <c r="L9" i="10"/>
  <c r="L12" i="10" s="1"/>
  <c r="L15" i="10" s="1"/>
  <c r="AW74" i="1"/>
  <c r="AQ114" i="1" l="1"/>
  <c r="AP35" i="1"/>
  <c r="AZ110" i="1"/>
  <c r="AZ42" i="1" s="1"/>
  <c r="BA107" i="1" s="1"/>
  <c r="BA110" i="1" s="1"/>
  <c r="BA42" i="1" s="1"/>
  <c r="BB107" i="1" s="1"/>
  <c r="BB110" i="1" s="1"/>
  <c r="BB42" i="1" s="1"/>
  <c r="BC42" i="1" s="1"/>
  <c r="BE107" i="1" s="1"/>
  <c r="BE110" i="1" s="1"/>
  <c r="BE42" i="1" s="1"/>
  <c r="BF107" i="1" s="1"/>
  <c r="BF110" i="1" s="1"/>
  <c r="BF42" i="1" s="1"/>
  <c r="BG107" i="1" s="1"/>
  <c r="BG110" i="1" s="1"/>
  <c r="BG42" i="1" s="1"/>
  <c r="BH107" i="1" s="1"/>
  <c r="BH110" i="1" s="1"/>
  <c r="BH42" i="1" s="1"/>
  <c r="BI42" i="1" s="1"/>
  <c r="AW9" i="1"/>
  <c r="AT113" i="1"/>
  <c r="BC74" i="1"/>
  <c r="M9" i="10"/>
  <c r="M12" i="10" s="1"/>
  <c r="M15" i="10" s="1"/>
  <c r="BF113" i="1"/>
  <c r="BI9" i="1"/>
  <c r="BI74" i="1"/>
  <c r="N9" i="10"/>
  <c r="N12" i="10" s="1"/>
  <c r="BC9" i="1"/>
  <c r="AZ113" i="1"/>
  <c r="AQ35" i="1"/>
  <c r="AP41" i="1"/>
  <c r="AS114" i="1"/>
  <c r="AQ116" i="1"/>
  <c r="D21" i="10" l="1"/>
  <c r="D22" i="10" s="1"/>
  <c r="N15" i="10"/>
  <c r="D23" i="10" s="1"/>
  <c r="O31" i="18"/>
  <c r="M22" i="9"/>
  <c r="AW113" i="1"/>
  <c r="O22" i="9"/>
  <c r="BI113" i="1"/>
  <c r="Q31" i="18"/>
  <c r="AT114" i="1"/>
  <c r="AS116" i="1"/>
  <c r="AQ41" i="1"/>
  <c r="N64" i="18" s="1"/>
  <c r="G76" i="11" s="1"/>
  <c r="AP49" i="1"/>
  <c r="P31" i="18"/>
  <c r="BC113" i="1"/>
  <c r="N22" i="9"/>
  <c r="AS35" i="1"/>
  <c r="L17" i="9"/>
  <c r="D24" i="10" l="1"/>
  <c r="D26" i="10" s="1"/>
  <c r="O33" i="18"/>
  <c r="O50" i="18"/>
  <c r="O32" i="18"/>
  <c r="O63" i="18"/>
  <c r="H75" i="11" s="1"/>
  <c r="O62" i="18"/>
  <c r="H74" i="11" s="1"/>
  <c r="P32" i="18"/>
  <c r="P62" i="18"/>
  <c r="P33" i="18"/>
  <c r="P63" i="18"/>
  <c r="P50" i="18"/>
  <c r="AT116" i="1"/>
  <c r="AU114" i="1"/>
  <c r="AS41" i="1"/>
  <c r="AS49" i="1" s="1"/>
  <c r="AS69" i="1" s="1"/>
  <c r="AT35" i="1"/>
  <c r="AQ49" i="1"/>
  <c r="AP69" i="1"/>
  <c r="Q33" i="18"/>
  <c r="Q50" i="18"/>
  <c r="Q63" i="18"/>
  <c r="Q32" i="18"/>
  <c r="Q62" i="18"/>
  <c r="F32" i="18"/>
  <c r="H45" i="11" s="1"/>
  <c r="D28" i="10" l="1"/>
  <c r="AT41" i="1"/>
  <c r="AT49" i="1" s="1"/>
  <c r="AT69" i="1" s="1"/>
  <c r="AU35" i="1"/>
  <c r="AV114" i="1"/>
  <c r="AU116" i="1"/>
  <c r="N45" i="18"/>
  <c r="N53" i="18" s="1"/>
  <c r="AQ69" i="1"/>
  <c r="C34" i="10" l="1"/>
  <c r="D29" i="10"/>
  <c r="D7" i="18"/>
  <c r="G22" i="11"/>
  <c r="AV116" i="1"/>
  <c r="AW114" i="1"/>
  <c r="AU41" i="1"/>
  <c r="AU49" i="1" s="1"/>
  <c r="AU69" i="1" s="1"/>
  <c r="AV35" i="1"/>
  <c r="AW35" i="1" l="1"/>
  <c r="AV41" i="1"/>
  <c r="AW116" i="1"/>
  <c r="AY114" i="1"/>
  <c r="AZ114" i="1" l="1"/>
  <c r="AY116" i="1"/>
  <c r="AW41" i="1"/>
  <c r="O64" i="18" s="1"/>
  <c r="H76" i="11" s="1"/>
  <c r="AV49" i="1"/>
  <c r="AY35" i="1"/>
  <c r="M17" i="9"/>
  <c r="AY41" i="1" l="1"/>
  <c r="AY49" i="1" s="1"/>
  <c r="AY69" i="1" s="1"/>
  <c r="AZ35" i="1"/>
  <c r="AV69" i="1"/>
  <c r="AW49" i="1"/>
  <c r="AZ116" i="1"/>
  <c r="BA114" i="1"/>
  <c r="BB114" i="1" l="1"/>
  <c r="BA116" i="1"/>
  <c r="AW69" i="1"/>
  <c r="O45" i="18"/>
  <c r="O53" i="18" s="1"/>
  <c r="BA35" i="1"/>
  <c r="AZ41" i="1"/>
  <c r="AZ49" i="1" s="1"/>
  <c r="AZ69" i="1" s="1"/>
  <c r="BA41" i="1" l="1"/>
  <c r="BA49" i="1" s="1"/>
  <c r="BA69" i="1" s="1"/>
  <c r="BB35" i="1"/>
  <c r="BC114" i="1"/>
  <c r="BB116" i="1"/>
  <c r="BC116" i="1" l="1"/>
  <c r="BE114" i="1"/>
  <c r="BB41" i="1"/>
  <c r="BC35" i="1"/>
  <c r="N17" i="9" l="1"/>
  <c r="BE35" i="1"/>
  <c r="BE116" i="1"/>
  <c r="BF114" i="1"/>
  <c r="BC41" i="1"/>
  <c r="P64" i="18" s="1"/>
  <c r="BB49" i="1"/>
  <c r="BB69" i="1" l="1"/>
  <c r="BC49" i="1"/>
  <c r="BG114" i="1"/>
  <c r="BF116" i="1"/>
  <c r="BE41" i="1"/>
  <c r="BE49" i="1" s="1"/>
  <c r="BE69" i="1" s="1"/>
  <c r="BF35" i="1"/>
  <c r="BF41" i="1" l="1"/>
  <c r="BF49" i="1" s="1"/>
  <c r="BF69" i="1" s="1"/>
  <c r="BG35" i="1"/>
  <c r="BC69" i="1"/>
  <c r="P45" i="18"/>
  <c r="P53" i="18" s="1"/>
  <c r="BG116" i="1"/>
  <c r="BH114" i="1"/>
  <c r="BH116" i="1" l="1"/>
  <c r="BI114" i="1"/>
  <c r="BI116" i="1" s="1"/>
  <c r="BH35" i="1"/>
  <c r="BG41" i="1"/>
  <c r="BG49" i="1" s="1"/>
  <c r="BG69" i="1" s="1"/>
  <c r="BH41" i="1" l="1"/>
  <c r="BI35" i="1"/>
  <c r="O17" i="9" s="1"/>
  <c r="BI41" i="1" l="1"/>
  <c r="Q64" i="18" s="1"/>
  <c r="BH49" i="1"/>
  <c r="BI49" i="1" l="1"/>
  <c r="BH69" i="1"/>
  <c r="Q45" i="18" l="1"/>
  <c r="Q53" i="18" s="1"/>
  <c r="BI69" i="1"/>
  <c r="K8" i="7"/>
  <c r="K7" i="7" s="1"/>
  <c r="K9" i="7" s="1"/>
  <c r="AI23" i="1" s="1"/>
  <c r="AI21" i="1" s="1"/>
  <c r="L8" i="7" l="1"/>
  <c r="K12" i="9" s="1"/>
  <c r="F55" i="11"/>
  <c r="L7" i="7" l="1"/>
  <c r="L9" i="7" s="1"/>
  <c r="AJ23" i="1" s="1"/>
  <c r="AJ21" i="1" s="1"/>
  <c r="N8" i="7"/>
  <c r="N7" i="7" l="1"/>
  <c r="N9" i="7" s="1"/>
  <c r="O8" i="7"/>
  <c r="AK23" i="1" l="1"/>
  <c r="K13" i="9" s="1"/>
  <c r="K14" i="9" s="1"/>
  <c r="K18" i="9" s="1"/>
  <c r="K8" i="9" s="1"/>
  <c r="AM23" i="1"/>
  <c r="AM21" i="1" s="1"/>
  <c r="D54" i="11" s="1"/>
  <c r="O7" i="7"/>
  <c r="O9" i="7" s="1"/>
  <c r="P8" i="7"/>
  <c r="AN23" i="1" l="1"/>
  <c r="G55" i="11"/>
  <c r="AK21" i="1"/>
  <c r="P7" i="7"/>
  <c r="P9" i="7" s="1"/>
  <c r="Q8" i="7"/>
  <c r="S8" i="7" s="1"/>
  <c r="T8" i="7" s="1"/>
  <c r="U8" i="7" s="1"/>
  <c r="V8" i="7" s="1"/>
  <c r="X8" i="7" s="1"/>
  <c r="Y8" i="7" s="1"/>
  <c r="Z8" i="7" s="1"/>
  <c r="AA8" i="7" s="1"/>
  <c r="AC8" i="7" s="1"/>
  <c r="AD8" i="7" s="1"/>
  <c r="AE8" i="7" s="1"/>
  <c r="AF8" i="7" s="1"/>
  <c r="K9" i="9"/>
  <c r="M59" i="18" s="1"/>
  <c r="AO23" i="1" l="1"/>
  <c r="AO21" i="1" s="1"/>
  <c r="F54" i="11" s="1"/>
  <c r="K6" i="9"/>
  <c r="M57" i="18" s="1"/>
  <c r="K7" i="9"/>
  <c r="M58" i="18" s="1"/>
  <c r="Q40" i="16"/>
  <c r="AN21" i="1"/>
  <c r="Q39" i="14"/>
  <c r="L12" i="9"/>
  <c r="Q7" i="7"/>
  <c r="Q9" i="7" s="1"/>
  <c r="H55" i="11"/>
  <c r="K19" i="9"/>
  <c r="K5" i="9" s="1"/>
  <c r="M56" i="18" s="1"/>
  <c r="M37" i="18"/>
  <c r="M38" i="18" s="1"/>
  <c r="Q12" i="14" l="1"/>
  <c r="O11" i="14"/>
  <c r="O12" i="14"/>
  <c r="P12" i="14"/>
  <c r="P11" i="14"/>
  <c r="Q11" i="14"/>
  <c r="X7" i="7"/>
  <c r="AP23" i="1"/>
  <c r="S7" i="7"/>
  <c r="S9" i="7" s="1"/>
  <c r="S22" i="9"/>
  <c r="P13" i="14"/>
  <c r="O13" i="14"/>
  <c r="Q13" i="14"/>
  <c r="S16" i="9"/>
  <c r="E54" i="11"/>
  <c r="Q32" i="14"/>
  <c r="Q33" i="16"/>
  <c r="Q11" i="16"/>
  <c r="P11" i="16"/>
  <c r="Q13" i="16"/>
  <c r="O11" i="16"/>
  <c r="O12" i="16"/>
  <c r="O13" i="16"/>
  <c r="P12" i="16"/>
  <c r="P13" i="16"/>
  <c r="Q12" i="16"/>
  <c r="R5" i="9" l="1"/>
  <c r="Q5" i="9"/>
  <c r="S5" i="9"/>
  <c r="Q9" i="9"/>
  <c r="S9" i="9"/>
  <c r="S8" i="9"/>
  <c r="S7" i="9"/>
  <c r="Q8" i="9"/>
  <c r="S6" i="9"/>
  <c r="Q7" i="9"/>
  <c r="Q6" i="9"/>
  <c r="R9" i="9"/>
  <c r="R8" i="9"/>
  <c r="R7" i="9"/>
  <c r="R6" i="9"/>
  <c r="Y7" i="7"/>
  <c r="AS23" i="1"/>
  <c r="P10" i="14"/>
  <c r="Q14" i="14" s="1"/>
  <c r="O10" i="14"/>
  <c r="Q10" i="14"/>
  <c r="O10" i="16"/>
  <c r="Q10" i="16"/>
  <c r="P10" i="16"/>
  <c r="Q14" i="16" s="1"/>
  <c r="Q15" i="16" s="1"/>
  <c r="T7" i="7"/>
  <c r="T9" i="7" s="1"/>
  <c r="AP21" i="1"/>
  <c r="AQ23" i="1"/>
  <c r="L13" i="9" s="1"/>
  <c r="L14" i="9" s="1"/>
  <c r="S10" i="9" l="1"/>
  <c r="Z7" i="7"/>
  <c r="AT23" i="1"/>
  <c r="AT21" i="1" s="1"/>
  <c r="E53" i="11" s="1"/>
  <c r="AQ21" i="1"/>
  <c r="G54" i="11"/>
  <c r="L18" i="9"/>
  <c r="L8" i="9" s="1"/>
  <c r="L9" i="9"/>
  <c r="N59" i="18" s="1"/>
  <c r="O8" i="18"/>
  <c r="O10" i="18"/>
  <c r="N10" i="18"/>
  <c r="N8" i="18"/>
  <c r="AS21" i="1"/>
  <c r="D53" i="11" s="1"/>
  <c r="U7" i="7"/>
  <c r="U9" i="7" s="1"/>
  <c r="AA7" i="7" l="1"/>
  <c r="O9" i="18"/>
  <c r="N9" i="18"/>
  <c r="AU23" i="1"/>
  <c r="AU21" i="1" s="1"/>
  <c r="F53" i="11" s="1"/>
  <c r="M12" i="9"/>
  <c r="V7" i="7"/>
  <c r="V9" i="7" s="1"/>
  <c r="X9" i="7" s="1"/>
  <c r="Y9" i="7" s="1"/>
  <c r="Z9" i="7" s="1"/>
  <c r="S11" i="9"/>
  <c r="G23" i="11"/>
  <c r="D8" i="18"/>
  <c r="G24" i="11"/>
  <c r="D9" i="18"/>
  <c r="Q15" i="14"/>
  <c r="N37" i="18"/>
  <c r="N38" i="18" s="1"/>
  <c r="H54" i="11"/>
  <c r="L19" i="9"/>
  <c r="L5" i="9" s="1"/>
  <c r="N56" i="18" s="1"/>
  <c r="L7" i="9"/>
  <c r="N58" i="18" s="1"/>
  <c r="L6" i="9"/>
  <c r="N57" i="18" s="1"/>
  <c r="AA9" i="7" l="1"/>
  <c r="F10" i="18"/>
  <c r="F11" i="18" s="1"/>
  <c r="AV23" i="1"/>
  <c r="H9" i="11"/>
  <c r="H25" i="11"/>
  <c r="AY23" i="1" l="1"/>
  <c r="AY21" i="1" s="1"/>
  <c r="H8" i="11"/>
  <c r="C20" i="7"/>
  <c r="AW23" i="1"/>
  <c r="M13" i="9" s="1"/>
  <c r="M14" i="9" s="1"/>
  <c r="AV21" i="1"/>
  <c r="AZ23" i="1" l="1"/>
  <c r="AZ21" i="1" s="1"/>
  <c r="G53" i="11"/>
  <c r="AW21" i="1"/>
  <c r="H7" i="11"/>
  <c r="C9" i="15"/>
  <c r="C12" i="15" s="1"/>
  <c r="M9" i="9"/>
  <c r="O59" i="18" s="1"/>
  <c r="M18" i="9"/>
  <c r="M8" i="9" s="1"/>
  <c r="BA23" i="1" l="1"/>
  <c r="BA21" i="1" s="1"/>
  <c r="J4" i="15"/>
  <c r="T4" i="15"/>
  <c r="U4" i="15"/>
  <c r="I4" i="15"/>
  <c r="M4" i="15"/>
  <c r="P4" i="15"/>
  <c r="N4" i="15"/>
  <c r="X4" i="15"/>
  <c r="W4" i="15"/>
  <c r="S4" i="15"/>
  <c r="Z4" i="15"/>
  <c r="F4" i="15"/>
  <c r="O4" i="15"/>
  <c r="H4" i="15"/>
  <c r="R4" i="15"/>
  <c r="E4" i="15"/>
  <c r="Y4" i="15"/>
  <c r="K4" i="15"/>
  <c r="M6" i="9"/>
  <c r="O57" i="18" s="1"/>
  <c r="M7" i="9"/>
  <c r="O58" i="18" s="1"/>
  <c r="N12" i="9"/>
  <c r="H53" i="11"/>
  <c r="O37" i="18"/>
  <c r="O38" i="18" s="1"/>
  <c r="M19" i="9"/>
  <c r="M5" i="9" s="1"/>
  <c r="O56" i="18" s="1"/>
  <c r="BB23" i="1" l="1"/>
  <c r="AC7" i="7"/>
  <c r="AC9" i="7" s="1"/>
  <c r="BE23" i="1" l="1"/>
  <c r="BE21" i="1" s="1"/>
  <c r="AD7" i="7"/>
  <c r="AD9" i="7" s="1"/>
  <c r="BB21" i="1"/>
  <c r="BC21" i="1" s="1"/>
  <c r="BC23" i="1"/>
  <c r="N13" i="9" s="1"/>
  <c r="N14" i="9" s="1"/>
  <c r="BF23" i="1" l="1"/>
  <c r="BF21" i="1" s="1"/>
  <c r="N9" i="9"/>
  <c r="P59" i="18" s="1"/>
  <c r="N18" i="9"/>
  <c r="N8" i="9" s="1"/>
  <c r="N19" i="9"/>
  <c r="N5" i="9" s="1"/>
  <c r="P56" i="18" s="1"/>
  <c r="P37" i="18"/>
  <c r="P38" i="18" s="1"/>
  <c r="AE7" i="7"/>
  <c r="AE9" i="7" s="1"/>
  <c r="BG23" i="1" l="1"/>
  <c r="BG21" i="1" s="1"/>
  <c r="AF7" i="7"/>
  <c r="AF9" i="7" s="1"/>
  <c r="BH23" i="1" s="1"/>
  <c r="O12" i="9"/>
  <c r="N7" i="9"/>
  <c r="P58" i="18" s="1"/>
  <c r="N6" i="9"/>
  <c r="P57" i="18" s="1"/>
  <c r="BI23" i="1" l="1"/>
  <c r="O13" i="9" s="1"/>
  <c r="O14" i="9" s="1"/>
  <c r="BH21" i="1"/>
  <c r="BI21" i="1" s="1"/>
  <c r="Q37" i="18" l="1"/>
  <c r="O19" i="9"/>
  <c r="O5" i="9" s="1"/>
  <c r="Q56" i="18" s="1"/>
  <c r="O18" i="9"/>
  <c r="O8" i="9" s="1"/>
  <c r="O9" i="9"/>
  <c r="Q59" i="18" s="1"/>
  <c r="O7" i="9" l="1"/>
  <c r="Q58" i="18" s="1"/>
  <c r="O6" i="9"/>
  <c r="Q57" i="18" s="1"/>
  <c r="Q38" i="18"/>
  <c r="F3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Sanchez, David A</author>
  </authors>
  <commentList>
    <comment ref="Y4" authorId="0" shapeId="0" xr:uid="{582CB309-F444-4DAA-BDC5-DA6D9C4225B4}">
      <text>
        <r>
          <rPr>
            <b/>
            <sz val="9"/>
            <color indexed="81"/>
            <rFont val="Tahoma"/>
            <charset val="1"/>
          </rPr>
          <t>Sanchez, David A:</t>
        </r>
        <r>
          <rPr>
            <sz val="9"/>
            <color indexed="81"/>
            <rFont val="Tahoma"/>
            <charset val="1"/>
          </rPr>
          <t xml:space="preserve">
Merger with BMC Stock Holdings</t>
        </r>
      </text>
    </comment>
    <comment ref="AQ26" authorId="0" shapeId="0" xr:uid="{8D6A5BE6-F9FB-4263-9C4C-55EFBC08ACAA}">
      <text>
        <r>
          <rPr>
            <b/>
            <sz val="9"/>
            <color indexed="81"/>
            <rFont val="Tahoma"/>
            <charset val="1"/>
          </rPr>
          <t>Sanchez, David A:</t>
        </r>
        <r>
          <rPr>
            <sz val="9"/>
            <color indexed="81"/>
            <rFont val="Tahoma"/>
            <charset val="1"/>
          </rPr>
          <t xml:space="preserve">
Expect strong rev growth due to rate cuts, seasonality and high demand for homes</t>
        </r>
      </text>
    </comment>
    <comment ref="AW26" authorId="0" shapeId="0" xr:uid="{C21A4B0A-3472-475C-A184-B68A8B3FC65B}">
      <text>
        <r>
          <rPr>
            <b/>
            <sz val="9"/>
            <color indexed="81"/>
            <rFont val="Tahoma"/>
            <charset val="1"/>
          </rPr>
          <t>Sanchez, David A:</t>
        </r>
        <r>
          <rPr>
            <sz val="9"/>
            <color indexed="81"/>
            <rFont val="Tahoma"/>
            <charset val="1"/>
          </rPr>
          <t xml:space="preserve">
Expect strong rev growth due to rate cuts, seasonality and high demand for homes</t>
        </r>
      </text>
    </comment>
    <comment ref="BC26" authorId="0" shapeId="0" xr:uid="{B5855590-8C93-4EAC-B6D8-DA3631E3B203}">
      <text>
        <r>
          <rPr>
            <b/>
            <sz val="9"/>
            <color indexed="81"/>
            <rFont val="Tahoma"/>
            <family val="2"/>
          </rPr>
          <t>Sanchez, David A:</t>
        </r>
        <r>
          <rPr>
            <sz val="9"/>
            <color indexed="81"/>
            <rFont val="Tahoma"/>
            <family val="2"/>
          </rPr>
          <t xml:space="preserve">
Projections shift to averages due to an expected normalization in housing market </t>
        </r>
      </text>
    </comment>
    <comment ref="BI26" authorId="0" shapeId="0" xr:uid="{70E28163-719D-4D2E-93F9-9FD01A363B31}">
      <text>
        <r>
          <rPr>
            <b/>
            <sz val="9"/>
            <color indexed="81"/>
            <rFont val="Tahoma"/>
            <charset val="1"/>
          </rPr>
          <t>Sanchez, David A:</t>
        </r>
        <r>
          <rPr>
            <sz val="9"/>
            <color indexed="81"/>
            <rFont val="Tahoma"/>
            <charset val="1"/>
          </rPr>
          <t xml:space="preserve">
Projections shift to averages due to an expected normalization in housing market </t>
        </r>
      </text>
    </comment>
    <comment ref="A65" authorId="0" shapeId="0" xr:uid="{AADF53D2-64C3-4730-8540-2E22C972BF90}">
      <text>
        <r>
          <rPr>
            <b/>
            <sz val="9"/>
            <color indexed="81"/>
            <rFont val="Tahoma"/>
            <family val="2"/>
          </rPr>
          <t>Sanchez, David A:</t>
        </r>
        <r>
          <rPr>
            <sz val="9"/>
            <color indexed="81"/>
            <rFont val="Tahoma"/>
            <family val="2"/>
          </rPr>
          <t xml:space="preserve">
+ repurchase of common stock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Sanchez, David A</author>
  </authors>
  <commentList>
    <comment ref="B36" authorId="0" shapeId="0" xr:uid="{DEF76C3A-048E-4CD0-B826-DBA5D1A1E4F3}">
      <text>
        <r>
          <rPr>
            <b/>
            <sz val="9"/>
            <color rgb="FF000000"/>
            <rFont val="Tahoma"/>
            <family val="2"/>
          </rPr>
          <t>Sanchez, David A:</t>
        </r>
        <r>
          <rPr>
            <sz val="9"/>
            <color rgb="FF000000"/>
            <rFont val="Tahoma"/>
            <family val="2"/>
          </rPr>
          <t xml:space="preserve">
</t>
        </r>
        <r>
          <rPr>
            <sz val="9"/>
            <color rgb="FF000000"/>
            <rFont val="Tahoma"/>
            <family val="2"/>
          </rPr>
          <t xml:space="preserve">Latest Quarter Filing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Sanchez, David A</author>
  </authors>
  <commentList>
    <comment ref="B39" authorId="0" shapeId="0" xr:uid="{EC36B7BE-F384-4F5D-8301-B59B0B71AEB0}">
      <text>
        <r>
          <rPr>
            <b/>
            <sz val="9"/>
            <color indexed="81"/>
            <rFont val="Tahoma"/>
            <family val="2"/>
          </rPr>
          <t>Sanchez, David A:</t>
        </r>
        <r>
          <rPr>
            <sz val="9"/>
            <color indexed="81"/>
            <rFont val="Tahoma"/>
            <family val="2"/>
          </rPr>
          <t xml:space="preserve">
Latest Quarter Filing 
</t>
        </r>
      </text>
    </comment>
    <comment ref="K54" authorId="0" shapeId="0" xr:uid="{9FDCE084-9212-4669-BCD4-18BDE774963A}">
      <text>
        <r>
          <rPr>
            <b/>
            <sz val="9"/>
            <color indexed="81"/>
            <rFont val="Tahoma"/>
            <family val="2"/>
          </rPr>
          <t>Sanchez, David A:</t>
        </r>
        <r>
          <rPr>
            <sz val="9"/>
            <color indexed="81"/>
            <rFont val="Tahoma"/>
            <family val="2"/>
          </rPr>
          <t xml:space="preserve">
capitalized as the average amount of our inventory qualifying for interest capitalization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Sanchez, David A</author>
  </authors>
  <commentList>
    <comment ref="B11" authorId="0" shapeId="0" xr:uid="{475A3C81-588C-4882-88FC-ED7498834C0A}">
      <text>
        <r>
          <rPr>
            <b/>
            <sz val="9"/>
            <color indexed="81"/>
            <rFont val="Tahoma"/>
            <family val="2"/>
          </rPr>
          <t>Sanchez, David A:</t>
        </r>
        <r>
          <rPr>
            <sz val="9"/>
            <color indexed="81"/>
            <rFont val="Tahoma"/>
            <family val="2"/>
          </rPr>
          <t xml:space="preserve">
3-Month Term SOFR (Pensford)
</t>
        </r>
      </text>
    </comment>
    <comment ref="B12" authorId="0" shapeId="0" xr:uid="{C670CA55-5A9E-48D6-9991-CEAE2BB4D9B0}">
      <text>
        <r>
          <rPr>
            <b/>
            <sz val="9"/>
            <color indexed="81"/>
            <rFont val="Tahoma"/>
            <family val="2"/>
          </rPr>
          <t>Sanchez, David A:</t>
        </r>
        <r>
          <rPr>
            <sz val="9"/>
            <color indexed="81"/>
            <rFont val="Tahoma"/>
            <family val="2"/>
          </rPr>
          <t xml:space="preserve">
Additional Interest Pricing range: 1.10%-1.60%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Sanchez, David A</author>
  </authors>
  <commentList>
    <comment ref="C21" authorId="0" shapeId="0" xr:uid="{8E6B8F5A-0542-44C5-9876-FF14FA939A08}">
      <text>
        <r>
          <rPr>
            <b/>
            <sz val="9"/>
            <color indexed="81"/>
            <rFont val="Tahoma"/>
            <charset val="1"/>
          </rPr>
          <t>Sanchez, David A:</t>
        </r>
        <r>
          <rPr>
            <sz val="9"/>
            <color indexed="81"/>
            <rFont val="Tahoma"/>
            <charset val="1"/>
          </rPr>
          <t xml:space="preserve">
Had to hardcode to avoid Circular Ref</t>
        </r>
      </text>
    </comment>
  </commentList>
</comments>
</file>

<file path=xl/sharedStrings.xml><?xml version="1.0" encoding="utf-8"?>
<sst xmlns="http://schemas.openxmlformats.org/spreadsheetml/2006/main" count="1207" uniqueCount="511">
  <si>
    <t>Mar. 31, 2018</t>
  </si>
  <si>
    <t>Cost of sales</t>
  </si>
  <si>
    <t>Income from operations</t>
  </si>
  <si>
    <t>Interest expense, net</t>
  </si>
  <si>
    <t>Income before income taxes</t>
  </si>
  <si>
    <t>Income tax expense</t>
  </si>
  <si>
    <t>Net income</t>
  </si>
  <si>
    <t>Basic</t>
  </si>
  <si>
    <t>Diluted</t>
  </si>
  <si>
    <t>Q1 2018</t>
  </si>
  <si>
    <t>CONDENSED CONSOLIDATED BALANCE SHEET - USD ($) $ in Thousands</t>
  </si>
  <si>
    <t>Current assets:</t>
  </si>
  <si>
    <t>Cash and cash equivalents</t>
  </si>
  <si>
    <t>Accounts receivable, less allowances of $11,874 and $11,771 at March 31, 2018 and December 31, 2017, respectively</t>
  </si>
  <si>
    <t>Other receivables</t>
  </si>
  <si>
    <t>Inventories, net</t>
  </si>
  <si>
    <t>Other current assets</t>
  </si>
  <si>
    <t>Total current assets</t>
  </si>
  <si>
    <t>Property, plant and equipment, net</t>
  </si>
  <si>
    <t>Assets held for sale</t>
  </si>
  <si>
    <t>Goodwill</t>
  </si>
  <si>
    <t>Intangible assets, net</t>
  </si>
  <si>
    <t>Deferred income taxes</t>
  </si>
  <si>
    <t>Other assets, net</t>
  </si>
  <si>
    <t>Total assets</t>
  </si>
  <si>
    <t>Current liabilities:</t>
  </si>
  <si>
    <t>Checks outstanding</t>
  </si>
  <si>
    <t>Accounts payable</t>
  </si>
  <si>
    <t>Accrued liabilities</t>
  </si>
  <si>
    <t>Current maturities of long-term debt and lease obligations</t>
  </si>
  <si>
    <t>Total current liabilities</t>
  </si>
  <si>
    <t>Long-term debt and lease obligations, net of current maturities, debt discount and debt issuance costs</t>
  </si>
  <si>
    <t>Other long-term liabilities</t>
  </si>
  <si>
    <t>Total liabilities</t>
  </si>
  <si>
    <t>Commitments and contingencies (Note 7)</t>
  </si>
  <si>
    <t xml:space="preserve"> </t>
  </si>
  <si>
    <t>Stockholders' equity:</t>
  </si>
  <si>
    <t>Preferred stock, $0.01 par value, 10,000 shares authorized; zero shares issued and outstanding</t>
  </si>
  <si>
    <t>Common stock, $0.01 par value, 200,000 shares authorized; 114,619 and 113,572 shares issued and outstanding at March 31, 2018 and December 31, 2017, respectively</t>
  </si>
  <si>
    <t>Additional paid-in capital</t>
  </si>
  <si>
    <t>Total stockholders' equity</t>
  </si>
  <si>
    <t>Total liabilities and stockholders' equity</t>
  </si>
  <si>
    <t>Jun. 30, 2018</t>
  </si>
  <si>
    <t>Q2 2018</t>
  </si>
  <si>
    <t>Sep. 30, 2018</t>
  </si>
  <si>
    <t>Q3 2018</t>
  </si>
  <si>
    <t>Dec. 31, 2018</t>
  </si>
  <si>
    <t>FY 2018</t>
  </si>
  <si>
    <t>Q4 2018</t>
  </si>
  <si>
    <t>Retained earnings (accumulated deficit)</t>
  </si>
  <si>
    <t>Mar. 31, 2019</t>
  </si>
  <si>
    <t>Q1 2019</t>
  </si>
  <si>
    <t>Operating lease right-of-use assets, net</t>
  </si>
  <si>
    <t>Current portion of operating lease liabilities</t>
  </si>
  <si>
    <t>Noncurrent portion of operating lease liabilities</t>
  </si>
  <si>
    <t>Jun. 30, 2019</t>
  </si>
  <si>
    <t>Q2 2019</t>
  </si>
  <si>
    <t>Sep. 30, 2019</t>
  </si>
  <si>
    <t>Q3 2019</t>
  </si>
  <si>
    <t>Dec. 31, 2019</t>
  </si>
  <si>
    <t>FY 2019</t>
  </si>
  <si>
    <t>Q4 2019</t>
  </si>
  <si>
    <t>Mar. 31, 2020</t>
  </si>
  <si>
    <t>Q1 2020</t>
  </si>
  <si>
    <t>Jun. 30, 2020</t>
  </si>
  <si>
    <t>Q2 2020</t>
  </si>
  <si>
    <t>Sep. 30, 2020</t>
  </si>
  <si>
    <t>Q3 2020</t>
  </si>
  <si>
    <t>Dec. 31, 2020</t>
  </si>
  <si>
    <t>FY 2020</t>
  </si>
  <si>
    <t>Q4 2020</t>
  </si>
  <si>
    <t>Mar. 31, 2021</t>
  </si>
  <si>
    <t>Q1 2021</t>
  </si>
  <si>
    <t>Jun. 30, 2021</t>
  </si>
  <si>
    <t>Q2 2021</t>
  </si>
  <si>
    <t>Sep. 30, 2021</t>
  </si>
  <si>
    <t>Q3 2021</t>
  </si>
  <si>
    <t>Dec. 31, 2021</t>
  </si>
  <si>
    <t>FY 2021</t>
  </si>
  <si>
    <t>Q4 2021</t>
  </si>
  <si>
    <t>Contract assets</t>
  </si>
  <si>
    <t>Contract liabilities</t>
  </si>
  <si>
    <t>Mar. 31, 2022</t>
  </si>
  <si>
    <t>Q1 2022</t>
  </si>
  <si>
    <t>Jun. 30, 2022</t>
  </si>
  <si>
    <t> </t>
  </si>
  <si>
    <t>Q2 2022</t>
  </si>
  <si>
    <t>Sep. 30, 2022</t>
  </si>
  <si>
    <t>Q3 2022</t>
  </si>
  <si>
    <t>Dec. 31, 2022</t>
  </si>
  <si>
    <t>FY 2022</t>
  </si>
  <si>
    <t>Q4 2022</t>
  </si>
  <si>
    <t>Q1 2023</t>
  </si>
  <si>
    <t>Mar. 31, 2023</t>
  </si>
  <si>
    <t>Jun. 30, 2023</t>
  </si>
  <si>
    <t>Q2 2023</t>
  </si>
  <si>
    <t xml:space="preserve">Income Statement  </t>
  </si>
  <si>
    <t>Units: Thousands of $USD</t>
  </si>
  <si>
    <t>Gross Profit</t>
  </si>
  <si>
    <t xml:space="preserve">Gross Margin </t>
  </si>
  <si>
    <t>x</t>
  </si>
  <si>
    <t>SG&amp;A</t>
  </si>
  <si>
    <t xml:space="preserve">EBITDA </t>
  </si>
  <si>
    <t>Depreciation and amortization</t>
  </si>
  <si>
    <t>Purchases of property, plant and equipment</t>
  </si>
  <si>
    <t>Repurchase of common stock</t>
  </si>
  <si>
    <t>6m</t>
  </si>
  <si>
    <t>9m</t>
  </si>
  <si>
    <t>EBIT</t>
  </si>
  <si>
    <t xml:space="preserve">EBT </t>
  </si>
  <si>
    <t>Earnings (loss) per share:</t>
  </si>
  <si>
    <t>Total revenues</t>
  </si>
  <si>
    <t>Income Statement  Assumptions</t>
  </si>
  <si>
    <t>Revenue % Growth (YOY)</t>
  </si>
  <si>
    <t xml:space="preserve">SG&amp;A % revenue </t>
  </si>
  <si>
    <t xml:space="preserve">COS % revenue </t>
  </si>
  <si>
    <t>D&amp;A % revenue</t>
  </si>
  <si>
    <t xml:space="preserve">Tax Rate </t>
  </si>
  <si>
    <t xml:space="preserve">Interest Expense % LTD </t>
  </si>
  <si>
    <t>Accounts receivable</t>
  </si>
  <si>
    <t>Common stock</t>
  </si>
  <si>
    <t>Balance Sheet</t>
  </si>
  <si>
    <t>Check</t>
  </si>
  <si>
    <t>Assumptions</t>
  </si>
  <si>
    <t>Days Sales Outstanding (Accounts Recievable, DSO)</t>
  </si>
  <si>
    <t>Days Inventory Outstanding (Inventory, DIO)</t>
  </si>
  <si>
    <t>Days Payable Outstanding (Accounts Payable, DPO)</t>
  </si>
  <si>
    <t>Cash Conversion Cycle</t>
  </si>
  <si>
    <t xml:space="preserve">Net Working Capital </t>
  </si>
  <si>
    <t xml:space="preserve">Change in Networking Capital </t>
  </si>
  <si>
    <t xml:space="preserve">PP&amp;E Schedule </t>
  </si>
  <si>
    <t xml:space="preserve">PP&amp;E - Beginning </t>
  </si>
  <si>
    <t>Plus: Capex</t>
  </si>
  <si>
    <t>Less: D&amp;A</t>
  </si>
  <si>
    <t xml:space="preserve">PP&amp;E - Ending </t>
  </si>
  <si>
    <t xml:space="preserve">Capex as % Revenue </t>
  </si>
  <si>
    <t xml:space="preserve">Current Portion </t>
  </si>
  <si>
    <t>LTD</t>
  </si>
  <si>
    <t>Interest Expense</t>
  </si>
  <si>
    <t>Cost of Debt</t>
  </si>
  <si>
    <t>Current Portion % of EBITDA</t>
  </si>
  <si>
    <t xml:space="preserve">Statement of Cash Flows </t>
  </si>
  <si>
    <t>Cash From Operations (CFO)</t>
  </si>
  <si>
    <t xml:space="preserve">Net Income </t>
  </si>
  <si>
    <t xml:space="preserve">Depreciation and ammortization </t>
  </si>
  <si>
    <t xml:space="preserve">Accounts Receivable </t>
  </si>
  <si>
    <t xml:space="preserve">Inventory </t>
  </si>
  <si>
    <t xml:space="preserve">Accounts Payable </t>
  </si>
  <si>
    <t>Total CFO:</t>
  </si>
  <si>
    <t xml:space="preserve">Change in Current Portion </t>
  </si>
  <si>
    <t>Change in Long-Term Debt</t>
  </si>
  <si>
    <t>Cash From Financing (CFF)</t>
  </si>
  <si>
    <t>Cash From Investing (CFI)</t>
  </si>
  <si>
    <t>CapEx</t>
  </si>
  <si>
    <t>CapEx/PP&amp;E</t>
  </si>
  <si>
    <t>Total Cash Spent</t>
  </si>
  <si>
    <t>Quarterly Share Price Growth Rate</t>
  </si>
  <si>
    <t>Total Number Of Quarters Projected</t>
  </si>
  <si>
    <t>Cash Spent per Quarter</t>
  </si>
  <si>
    <t>Consolidated Upside</t>
  </si>
  <si>
    <t xml:space="preserve">Projected Share Price </t>
  </si>
  <si>
    <t>Total Remaining at Start of Proj.</t>
  </si>
  <si>
    <t>Approved Spending</t>
  </si>
  <si>
    <t>Starting S/O</t>
  </si>
  <si>
    <t>Thousands</t>
  </si>
  <si>
    <t>Inputs</t>
  </si>
  <si>
    <t>Tenure:</t>
  </si>
  <si>
    <t>Amount Approved:</t>
  </si>
  <si>
    <t>Details</t>
  </si>
  <si>
    <t>Shares Outstanding (In Thousands)</t>
  </si>
  <si>
    <t>Shares Bought Back (In Thousands)</t>
  </si>
  <si>
    <t>`</t>
  </si>
  <si>
    <t>Cash Spent (In Thousands)</t>
  </si>
  <si>
    <t>Q'4</t>
  </si>
  <si>
    <t>Q'3</t>
  </si>
  <si>
    <t>Q'2</t>
  </si>
  <si>
    <t>Q'1</t>
  </si>
  <si>
    <t>Quarter</t>
  </si>
  <si>
    <t>Projections</t>
  </si>
  <si>
    <t>Share Repurchase Program</t>
  </si>
  <si>
    <t>Date</t>
  </si>
  <si>
    <t>Close</t>
  </si>
  <si>
    <t>BLDR</t>
  </si>
  <si>
    <t xml:space="preserve">Change </t>
  </si>
  <si>
    <t>SPTM (S&amp;P 1500</t>
  </si>
  <si>
    <t>Calculations</t>
  </si>
  <si>
    <t>Regression Beta</t>
  </si>
  <si>
    <t>Risk Free Rate</t>
  </si>
  <si>
    <t>CAPM</t>
  </si>
  <si>
    <t>Total CCF:</t>
  </si>
  <si>
    <t>Total CFI:</t>
  </si>
  <si>
    <t>Total Change in Cash:</t>
  </si>
  <si>
    <t>Historical Valuation</t>
  </si>
  <si>
    <t>EV/Sales</t>
  </si>
  <si>
    <t>Bear</t>
  </si>
  <si>
    <t>Base</t>
  </si>
  <si>
    <t>Bull</t>
  </si>
  <si>
    <t>Multiples</t>
  </si>
  <si>
    <t>FY 18</t>
  </si>
  <si>
    <t>FY 19</t>
  </si>
  <si>
    <t>FY 20</t>
  </si>
  <si>
    <t>FY 21</t>
  </si>
  <si>
    <t>FY 22</t>
  </si>
  <si>
    <t>Implied Upside</t>
  </si>
  <si>
    <t>Sales</t>
  </si>
  <si>
    <t>Current Price</t>
  </si>
  <si>
    <t>Multiple</t>
  </si>
  <si>
    <t>EV/EBITDA</t>
  </si>
  <si>
    <t>Implied Price</t>
  </si>
  <si>
    <t>Enterprise Value</t>
  </si>
  <si>
    <t>P/E</t>
  </si>
  <si>
    <t>Upside</t>
  </si>
  <si>
    <t>Cash</t>
  </si>
  <si>
    <t>Debt</t>
  </si>
  <si>
    <t>Summary</t>
  </si>
  <si>
    <t>Weight</t>
  </si>
  <si>
    <t>Market Cap.</t>
  </si>
  <si>
    <t>Diluted Shares</t>
  </si>
  <si>
    <t>Price Target</t>
  </si>
  <si>
    <t>EBITDA</t>
  </si>
  <si>
    <t>Share Price</t>
  </si>
  <si>
    <t>EPS</t>
  </si>
  <si>
    <t>Historical</t>
  </si>
  <si>
    <t>Historical Sales</t>
  </si>
  <si>
    <t>Historical EBITDA</t>
  </si>
  <si>
    <t>Historical EV</t>
  </si>
  <si>
    <t>Price (12/31)</t>
  </si>
  <si>
    <t xml:space="preserve">Discounted Cash Flow Valuation </t>
  </si>
  <si>
    <t>Free Cash Flow to Firm</t>
  </si>
  <si>
    <t>FY 2018A</t>
  </si>
  <si>
    <t>FY 2019A</t>
  </si>
  <si>
    <t>FY 2020A</t>
  </si>
  <si>
    <t>FY 2021A</t>
  </si>
  <si>
    <t>FY 2022A</t>
  </si>
  <si>
    <t>FY 2023E</t>
  </si>
  <si>
    <t>FY 2024E</t>
  </si>
  <si>
    <t>FY 2025E</t>
  </si>
  <si>
    <t>FY 2026E</t>
  </si>
  <si>
    <t>FY 2027E</t>
  </si>
  <si>
    <t xml:space="preserve">EBIT </t>
  </si>
  <si>
    <t>NOPAT</t>
  </si>
  <si>
    <t>Plus: D&amp;A</t>
  </si>
  <si>
    <t>Less: △ NwC</t>
  </si>
  <si>
    <t xml:space="preserve">Less: Capex </t>
  </si>
  <si>
    <t>FCFF</t>
  </si>
  <si>
    <t xml:space="preserve">Discount Period </t>
  </si>
  <si>
    <t>Present Value of FCFF</t>
  </si>
  <si>
    <t>Valuation</t>
  </si>
  <si>
    <t xml:space="preserve">Perpetuity Growth Method </t>
  </si>
  <si>
    <t>WACC</t>
  </si>
  <si>
    <t xml:space="preserve">Terminal Growth Rate </t>
  </si>
  <si>
    <t xml:space="preserve">% Weight Debt </t>
  </si>
  <si>
    <t>Terminal Value</t>
  </si>
  <si>
    <t xml:space="preserve">Cost of Debt </t>
  </si>
  <si>
    <t>PV of Terminal Value</t>
  </si>
  <si>
    <t xml:space="preserve">% 2022 Tax Rate </t>
  </si>
  <si>
    <t>Cumulative FCFF</t>
  </si>
  <si>
    <t xml:space="preserve">% Weight Equity </t>
  </si>
  <si>
    <t xml:space="preserve">Enterprise Value </t>
  </si>
  <si>
    <t xml:space="preserve">Cost of Equity </t>
  </si>
  <si>
    <t xml:space="preserve">Less: Net Debt </t>
  </si>
  <si>
    <t xml:space="preserve">Beta </t>
  </si>
  <si>
    <t xml:space="preserve">Share Price </t>
  </si>
  <si>
    <t xml:space="preserve">Equity Value </t>
  </si>
  <si>
    <t>RFR</t>
  </si>
  <si>
    <t xml:space="preserve">Diluted Shares </t>
  </si>
  <si>
    <t>Market Cap</t>
  </si>
  <si>
    <t xml:space="preserve">Implied Share Price </t>
  </si>
  <si>
    <t xml:space="preserve">Plus: Net Debt  </t>
  </si>
  <si>
    <t>Sensitivity Analysis</t>
  </si>
  <si>
    <t>Terminal Growth Rate</t>
  </si>
  <si>
    <t xml:space="preserve">Q1 </t>
  </si>
  <si>
    <t xml:space="preserve">Q2 </t>
  </si>
  <si>
    <t xml:space="preserve">Q3 </t>
  </si>
  <si>
    <t xml:space="preserve">Q4 </t>
  </si>
  <si>
    <t xml:space="preserve">FY </t>
  </si>
  <si>
    <t>2025E</t>
  </si>
  <si>
    <t>2024E</t>
  </si>
  <si>
    <t>2023E</t>
  </si>
  <si>
    <t>2022A</t>
  </si>
  <si>
    <t>2021A</t>
  </si>
  <si>
    <t>Credit Metrics</t>
  </si>
  <si>
    <t>Target Company</t>
  </si>
  <si>
    <t>MC ($M)</t>
  </si>
  <si>
    <t>Ticker</t>
  </si>
  <si>
    <t>Company</t>
  </si>
  <si>
    <t>Current Peer Multiples</t>
  </si>
  <si>
    <t>FY</t>
  </si>
  <si>
    <t>Q4</t>
  </si>
  <si>
    <t>Q3</t>
  </si>
  <si>
    <t>Q2</t>
  </si>
  <si>
    <t>Q1</t>
  </si>
  <si>
    <t>Consensus Estimates</t>
  </si>
  <si>
    <t>Earnings Estimates</t>
  </si>
  <si>
    <t>% Net Margin</t>
  </si>
  <si>
    <t>% Growth</t>
  </si>
  <si>
    <t>Net Income</t>
  </si>
  <si>
    <t>% EBITDA Margin</t>
  </si>
  <si>
    <t>Total Revenue</t>
  </si>
  <si>
    <t>2023-2027</t>
  </si>
  <si>
    <t>2018-2022</t>
  </si>
  <si>
    <t>Fiscal Year</t>
  </si>
  <si>
    <t>% CAGR</t>
  </si>
  <si>
    <t>Fundamental Analysis</t>
  </si>
  <si>
    <t xml:space="preserve">Consolidated </t>
  </si>
  <si>
    <t>Consolidated Price Target</t>
  </si>
  <si>
    <t>Beta</t>
  </si>
  <si>
    <t>% above 52-week low</t>
  </si>
  <si>
    <t>52-Week Low</t>
  </si>
  <si>
    <t>% of 52-Week High</t>
  </si>
  <si>
    <t>52-Week High</t>
  </si>
  <si>
    <t>Trading Data</t>
  </si>
  <si>
    <t>Downside:</t>
  </si>
  <si>
    <t>Stop Loss:</t>
  </si>
  <si>
    <t>Current Price:</t>
  </si>
  <si>
    <t>Price Target:</t>
  </si>
  <si>
    <t>Upside:</t>
  </si>
  <si>
    <t>5 Year Trading Data</t>
  </si>
  <si>
    <t>Recommendation:</t>
  </si>
  <si>
    <t>Credit Analysis</t>
  </si>
  <si>
    <t>Shareholders Equity</t>
  </si>
  <si>
    <t>Liabilities</t>
  </si>
  <si>
    <t>Assets</t>
  </si>
  <si>
    <t>Long-Term Debt</t>
  </si>
  <si>
    <t>%  EPS Growth</t>
  </si>
  <si>
    <t>Diluted EPS</t>
  </si>
  <si>
    <t>% Net Profit Margin</t>
  </si>
  <si>
    <t>% Net Income Growth</t>
  </si>
  <si>
    <t>% EBITDA Growth</t>
  </si>
  <si>
    <t>% of Revenue</t>
  </si>
  <si>
    <t>% Revenue Growth</t>
  </si>
  <si>
    <t>Income Statement</t>
  </si>
  <si>
    <t>Equity Risk Premium</t>
  </si>
  <si>
    <t xml:space="preserve">Implied Upside </t>
  </si>
  <si>
    <t>Implied Share Price</t>
  </si>
  <si>
    <t xml:space="preserve">Upper </t>
  </si>
  <si>
    <t>Diff</t>
  </si>
  <si>
    <t xml:space="preserve">Lower </t>
  </si>
  <si>
    <t>Comparable Valuation</t>
  </si>
  <si>
    <t>52-Week Trading Range</t>
  </si>
  <si>
    <t>% Weight</t>
  </si>
  <si>
    <t>Valuation Output</t>
  </si>
  <si>
    <t>FY2027E</t>
  </si>
  <si>
    <t>FY2026E</t>
  </si>
  <si>
    <t>FY2025E</t>
  </si>
  <si>
    <t>FY2024E</t>
  </si>
  <si>
    <t>FY2023E</t>
  </si>
  <si>
    <t>FY2022A</t>
  </si>
  <si>
    <t>FY2021A</t>
  </si>
  <si>
    <t>FY2020A</t>
  </si>
  <si>
    <t>FY2019A</t>
  </si>
  <si>
    <t>First Repurchase Details</t>
  </si>
  <si>
    <t xml:space="preserve">Upside </t>
  </si>
  <si>
    <t>Downside</t>
  </si>
  <si>
    <t>Company Name</t>
  </si>
  <si>
    <t>EV/EBIT</t>
  </si>
  <si>
    <t>Units</t>
  </si>
  <si>
    <t>P/Sales</t>
  </si>
  <si>
    <t>Implied Price Target</t>
  </si>
  <si>
    <t>Profitability</t>
  </si>
  <si>
    <t>% EBIT Margin</t>
  </si>
  <si>
    <t>EBITDA Interest Coverage</t>
  </si>
  <si>
    <t>Debt to Capital</t>
  </si>
  <si>
    <t>Market Capitalization</t>
  </si>
  <si>
    <t>Less: Cash</t>
  </si>
  <si>
    <t>Sales (ttm)</t>
  </si>
  <si>
    <t>EBIT (ttm)</t>
  </si>
  <si>
    <t>Net Income (ttm)</t>
  </si>
  <si>
    <t>Diluted EPS (ttm)</t>
  </si>
  <si>
    <t>Interest Expense (ttm)</t>
  </si>
  <si>
    <t>D&amp;A (ttm)</t>
  </si>
  <si>
    <t>EBITDA (ttm)</t>
  </si>
  <si>
    <t>Comparable Companies</t>
  </si>
  <si>
    <t>Company Information</t>
  </si>
  <si>
    <t xml:space="preserve">Ticker </t>
  </si>
  <si>
    <t>Market Capitalization ($)</t>
  </si>
  <si>
    <t>Book Value / Share (BV/s)</t>
  </si>
  <si>
    <t>BV/s as % of Share Price</t>
  </si>
  <si>
    <t>% Gross Margin</t>
  </si>
  <si>
    <t xml:space="preserve">Credit </t>
  </si>
  <si>
    <t>Total Debt to EBITDA</t>
  </si>
  <si>
    <t xml:space="preserve">Debt to Equity </t>
  </si>
  <si>
    <t xml:space="preserve">Plus: Debt </t>
  </si>
  <si>
    <t xml:space="preserve">Book Value </t>
  </si>
  <si>
    <t>Income Statement Inputs (ttm)</t>
  </si>
  <si>
    <t>Gross Profit (ttm)</t>
  </si>
  <si>
    <t xml:space="preserve">Builders FirstSource </t>
  </si>
  <si>
    <t xml:space="preserve">Toll Brothers </t>
  </si>
  <si>
    <t xml:space="preserve">D.R. Horton </t>
  </si>
  <si>
    <t xml:space="preserve">KB Home </t>
  </si>
  <si>
    <t xml:space="preserve">PluteGroup </t>
  </si>
  <si>
    <t>LEN</t>
  </si>
  <si>
    <t>TOL</t>
  </si>
  <si>
    <t>DHI</t>
  </si>
  <si>
    <t>KBH</t>
  </si>
  <si>
    <t>PHM</t>
  </si>
  <si>
    <t>Valuation Inputs (NTM)</t>
  </si>
  <si>
    <t>TTM</t>
  </si>
  <si>
    <t xml:space="preserve">FY - (6M 2022 + 6M 2023) </t>
  </si>
  <si>
    <t xml:space="preserve">Balance Sheet </t>
  </si>
  <si>
    <t xml:space="preserve">Cogs </t>
  </si>
  <si>
    <t xml:space="preserve">TTM Formula </t>
  </si>
  <si>
    <t xml:space="preserve"> Net Income </t>
  </si>
  <si>
    <t xml:space="preserve"> Debt</t>
  </si>
  <si>
    <t xml:space="preserve"> Diluted Shares </t>
  </si>
  <si>
    <t>% ROE</t>
  </si>
  <si>
    <t xml:space="preserve">Leverage </t>
  </si>
  <si>
    <t xml:space="preserve">Net Leverage </t>
  </si>
  <si>
    <t>Quarters</t>
  </si>
  <si>
    <t>Quarters Remaining</t>
  </si>
  <si>
    <t>Quarterly Growth Rate</t>
  </si>
  <si>
    <t>Historical Price Valuation</t>
  </si>
  <si>
    <t>2018A</t>
  </si>
  <si>
    <t>2019A</t>
  </si>
  <si>
    <t>2020A</t>
  </si>
  <si>
    <t>2026E</t>
  </si>
  <si>
    <t>2027E</t>
  </si>
  <si>
    <t>Multiple Calculations</t>
  </si>
  <si>
    <t>Plus: LTD Debt</t>
  </si>
  <si>
    <t>Plus: STD Debt</t>
  </si>
  <si>
    <t>Net Debt</t>
  </si>
  <si>
    <t>Masco Corp.</t>
  </si>
  <si>
    <t>Lennar Corp.</t>
  </si>
  <si>
    <t xml:space="preserve">MAS </t>
  </si>
  <si>
    <t xml:space="preserve">Trex Company </t>
  </si>
  <si>
    <t>TREX</t>
  </si>
  <si>
    <t xml:space="preserve">Discounted Cash Flow </t>
  </si>
  <si>
    <t xml:space="preserve">Historical </t>
  </si>
  <si>
    <t xml:space="preserve">Comparable </t>
  </si>
  <si>
    <t>Discounted Cash Flow</t>
  </si>
  <si>
    <t>Comparable</t>
  </si>
  <si>
    <t>% EBIT Growth</t>
  </si>
  <si>
    <t xml:space="preserve">Interest Expense </t>
  </si>
  <si>
    <t>% Net Income Margin</t>
  </si>
  <si>
    <t xml:space="preserve">% ROE </t>
  </si>
  <si>
    <t>% ROA</t>
  </si>
  <si>
    <t>Valuation Multiples</t>
  </si>
  <si>
    <t>Leverage Ratio</t>
  </si>
  <si>
    <t>Current Ratio</t>
  </si>
  <si>
    <t>ERP</t>
  </si>
  <si>
    <t>Total Cost of Sales</t>
  </si>
  <si>
    <t>%  Growth</t>
  </si>
  <si>
    <t>%  Margin</t>
  </si>
  <si>
    <t>Long Term Debt</t>
  </si>
  <si>
    <t>Forward SOFR Curve</t>
  </si>
  <si>
    <t>Quarterly Interest</t>
  </si>
  <si>
    <t>Total LT Debt</t>
  </si>
  <si>
    <t>Less: Unamortized Debt Discounts and Issuance Costs</t>
  </si>
  <si>
    <t>Total Long Term Debt</t>
  </si>
  <si>
    <t>Current Portion, as a % of Total Debt</t>
  </si>
  <si>
    <t>Current Portion of debt</t>
  </si>
  <si>
    <t>Total Debt - Current Portion</t>
  </si>
  <si>
    <t>Total Interest Expense</t>
  </si>
  <si>
    <t>Current Portion, % of Total Debt</t>
  </si>
  <si>
    <t>S+130 bps</t>
  </si>
  <si>
    <t>Series 2032</t>
  </si>
  <si>
    <t>2030 Notes</t>
  </si>
  <si>
    <t>Finance Lease Obligations</t>
  </si>
  <si>
    <t>Debt Schedule - Builders FirstSource</t>
  </si>
  <si>
    <t xml:space="preserve">Masco Corporation </t>
  </si>
  <si>
    <t xml:space="preserve">Other Finance Obligations  </t>
  </si>
  <si>
    <t>Builders FirstSource</t>
  </si>
  <si>
    <t>MAS</t>
  </si>
  <si>
    <t xml:space="preserve">Market Cap </t>
  </si>
  <si>
    <t xml:space="preserve">Building Permits </t>
  </si>
  <si>
    <t xml:space="preserve">Housing Starts </t>
  </si>
  <si>
    <t xml:space="preserve">New Home Sales </t>
  </si>
  <si>
    <t xml:space="preserve">Construction Spending </t>
  </si>
  <si>
    <t xml:space="preserve">Housing Starts Single Family </t>
  </si>
  <si>
    <t xml:space="preserve">Hosuing Starts Multi Family </t>
  </si>
  <si>
    <t xml:space="preserve">Units in Thousands </t>
  </si>
  <si>
    <t xml:space="preserve">% Change </t>
  </si>
  <si>
    <t>United States Housing Data</t>
  </si>
  <si>
    <t xml:space="preserve">Median Sale Price </t>
  </si>
  <si>
    <t xml:space="preserve">YOY Change </t>
  </si>
  <si>
    <t xml:space="preserve"># of Homes Sold </t>
  </si>
  <si>
    <t xml:space="preserve">National Avg. 30-Year Fixed Mortgage Rate </t>
  </si>
  <si>
    <t xml:space="preserve"># of Homes for Sale </t>
  </si>
  <si>
    <t xml:space="preserve"># of Newly Listed Homes </t>
  </si>
  <si>
    <t xml:space="preserve">Median Days on Market </t>
  </si>
  <si>
    <t xml:space="preserve">Months of Supply </t>
  </si>
  <si>
    <t xml:space="preserve">United States Housing Market </t>
  </si>
  <si>
    <t xml:space="preserve">YOY % Change </t>
  </si>
  <si>
    <t xml:space="preserve">MOM % Change </t>
  </si>
  <si>
    <t xml:space="preserve">Catalysts </t>
  </si>
  <si>
    <t xml:space="preserve">Risks </t>
  </si>
  <si>
    <t xml:space="preserve">Debt </t>
  </si>
  <si>
    <t xml:space="preserve">2023 Q2 Net Debt </t>
  </si>
  <si>
    <t>2H2023E</t>
  </si>
  <si>
    <t>Owens Corning</t>
  </si>
  <si>
    <t>OC</t>
  </si>
  <si>
    <t>EV / Sales</t>
  </si>
  <si>
    <t xml:space="preserve">P / Sales </t>
  </si>
  <si>
    <t xml:space="preserve">EV/EBIT </t>
  </si>
  <si>
    <t>$1 billion</t>
  </si>
  <si>
    <t>4/30/2023 - 12/31/2024</t>
  </si>
  <si>
    <t>Median Sale Price</t>
  </si>
  <si>
    <t xml:space="preserve">Median Days on Mkt. </t>
  </si>
  <si>
    <t xml:space="preserve">Newly Listed Homes </t>
  </si>
  <si>
    <t xml:space="preserve">Homes for Sale </t>
  </si>
  <si>
    <t xml:space="preserve">Homes Sold </t>
  </si>
  <si>
    <t>Units in Millions</t>
  </si>
  <si>
    <t xml:space="preserve">Renovation and Remodeling Market </t>
  </si>
  <si>
    <t>Series 2027, Revolving Credit Facility: Due January 17, 2028</t>
  </si>
  <si>
    <t>The Home Depot</t>
  </si>
  <si>
    <t>HD</t>
  </si>
  <si>
    <t>GMS Inc.</t>
  </si>
  <si>
    <t>GMS</t>
  </si>
  <si>
    <t xml:space="preserve">Lowes Companies </t>
  </si>
  <si>
    <t>LOW</t>
  </si>
  <si>
    <t>Company Overview and Investment Thesis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</si>
</sst>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quot;$ &quot;#,##0_);_(&quot;$ &quot;\(#,##0\)"/>
    <numFmt numFmtId="165" formatCode="0.0%"/>
    <numFmt numFmtId="166" formatCode="_(* #,##0_);_(* \(#,##0\);_(* &quot;-&quot;??_);_(@_)"/>
    <numFmt numFmtId="167" formatCode="0.0\x"/>
    <numFmt numFmtId="168" formatCode="0.00&quot;x&quot;"/>
    <numFmt numFmtId="169" formatCode="&quot;$&quot;#,##0.00"/>
    <numFmt numFmtId="170" formatCode="0.0000"/>
    <numFmt numFmtId="171" formatCode="_(* #,##0.0_);_(* \(#,##0.0\);_(* &quot;-&quot;_);_(@_)"/>
    <numFmt numFmtId="172" formatCode="_(* #,##0.00_);_(* \(#,##0.00\);_(* &quot;-&quot;_);_(@_)"/>
    <numFmt numFmtId="173" formatCode="_(* #,##0_);_(* \(#,##0\);_(* &quot;-&quot;?_);_(@_)"/>
    <numFmt numFmtId="174" formatCode="0.00\x"/>
    <numFmt numFmtId="175" formatCode="&quot;$&quot;#,##0"/>
    <numFmt numFmtId="176" formatCode="&quot;$&quot;#,##0.00_);\(&quot;$&quot;#,##0.00\);@_)"/>
    <numFmt numFmtId="177" formatCode="#,##0.00&quot;B&quot;"/>
  </numFmts>
  <fonts count="48">
    <font>
      <sz val="11"/>
      <color theme="1"/>
      <name val="Calibri"/>
      <family val="2"/>
      <scheme val="minor"/>
    </font>
    <font>
      <b/>
      <sz val="11"/>
      <name val="Calibri"/>
      <family val="2"/>
    </font>
    <font>
      <sz val="11"/>
      <name val="Calibri"/>
      <family val="2"/>
    </font>
    <font>
      <sz val="11"/>
      <color theme="1"/>
      <name val="Calibri"/>
      <family val="2"/>
      <scheme val="minor"/>
    </font>
    <font>
      <i/>
      <sz val="10"/>
      <color theme="1"/>
      <name val="Book Antiqua"/>
      <family val="1"/>
    </font>
    <font>
      <sz val="11"/>
      <name val="Calibri"/>
      <family val="2"/>
    </font>
    <font>
      <sz val="11"/>
      <name val="Calibri"/>
      <family val="2"/>
      <scheme val="minor"/>
    </font>
    <font>
      <b/>
      <sz val="11"/>
      <name val="Book Antiqua"/>
      <family val="1"/>
    </font>
    <font>
      <b/>
      <sz val="11"/>
      <color theme="1"/>
      <name val="Book Antiqua"/>
      <family val="1"/>
    </font>
    <font>
      <sz val="11"/>
      <color theme="1"/>
      <name val="Book Antiqua"/>
      <family val="1"/>
    </font>
    <font>
      <sz val="9"/>
      <color indexed="81"/>
      <name val="Tahoma"/>
      <family val="2"/>
    </font>
    <font>
      <b/>
      <sz val="9"/>
      <color indexed="81"/>
      <name val="Tahoma"/>
      <family val="2"/>
    </font>
    <font>
      <sz val="9"/>
      <color rgb="FF040E32"/>
      <name val="Campton"/>
    </font>
    <font>
      <sz val="11"/>
      <name val="Book Antiqua"/>
      <family val="1"/>
    </font>
    <font>
      <b/>
      <u/>
      <sz val="11"/>
      <name val="Book Antiqua"/>
      <family val="1"/>
    </font>
    <font>
      <sz val="11"/>
      <color theme="0"/>
      <name val="Book Antiqua"/>
      <family val="1"/>
    </font>
    <font>
      <sz val="12"/>
      <color theme="0"/>
      <name val="Book Antiqua"/>
      <family val="1"/>
    </font>
    <font>
      <b/>
      <sz val="12"/>
      <color theme="0"/>
      <name val="Book Antiqua"/>
      <family val="1"/>
    </font>
    <font>
      <b/>
      <sz val="11"/>
      <color theme="0"/>
      <name val="Book Antiqua"/>
      <family val="1"/>
    </font>
    <font>
      <b/>
      <u/>
      <sz val="11"/>
      <color theme="0"/>
      <name val="Book Antiqua"/>
      <family val="1"/>
    </font>
    <font>
      <b/>
      <u/>
      <sz val="11"/>
      <color theme="1"/>
      <name val="Book Antiqua"/>
      <family val="1"/>
    </font>
    <font>
      <u/>
      <sz val="11"/>
      <color theme="1"/>
      <name val="Book Antiqua"/>
      <family val="1"/>
    </font>
    <font>
      <sz val="11"/>
      <color rgb="FF0000FF"/>
      <name val="Book Antiqua"/>
      <family val="1"/>
    </font>
    <font>
      <u val="singleAccounting"/>
      <sz val="11"/>
      <color theme="1"/>
      <name val="Book Antiqua"/>
      <family val="1"/>
    </font>
    <font>
      <i/>
      <sz val="11"/>
      <color theme="1"/>
      <name val="Book Antiqua"/>
      <family val="1"/>
    </font>
    <font>
      <sz val="11"/>
      <color rgb="FFFF0000"/>
      <name val="Book Antiqua"/>
      <family val="1"/>
    </font>
    <font>
      <i/>
      <sz val="11"/>
      <name val="Book Antiqua"/>
      <family val="1"/>
    </font>
    <font>
      <b/>
      <u/>
      <sz val="16"/>
      <color theme="0"/>
      <name val="Book Antiqua"/>
      <family val="1"/>
    </font>
    <font>
      <b/>
      <sz val="11"/>
      <color rgb="FF002060"/>
      <name val="Book Antiqua"/>
      <family val="1"/>
    </font>
    <font>
      <b/>
      <sz val="13"/>
      <color theme="0"/>
      <name val="Book Antiqua"/>
      <family val="1"/>
    </font>
    <font>
      <b/>
      <i/>
      <sz val="11"/>
      <color theme="1"/>
      <name val="Book Antiqua"/>
      <family val="1"/>
    </font>
    <font>
      <b/>
      <sz val="12"/>
      <color theme="1"/>
      <name val="Book Antiqua"/>
      <family val="1"/>
    </font>
    <font>
      <sz val="12"/>
      <color theme="1"/>
      <name val="Book Antiqua"/>
      <family val="1"/>
    </font>
    <font>
      <b/>
      <sz val="14"/>
      <color theme="1"/>
      <name val="Book Antiqua"/>
      <family val="1"/>
    </font>
    <font>
      <b/>
      <sz val="12"/>
      <name val="Book Antiqua"/>
      <family val="1"/>
    </font>
    <font>
      <u val="singleAccounting"/>
      <sz val="11"/>
      <color rgb="FF0000FF"/>
      <name val="Book Antiqua"/>
      <family val="1"/>
    </font>
    <font>
      <i/>
      <sz val="11"/>
      <color theme="0"/>
      <name val="Book Antiqua"/>
      <family val="1"/>
    </font>
    <font>
      <b/>
      <sz val="10"/>
      <name val="Book Antiqua"/>
      <family val="1"/>
    </font>
    <font>
      <b/>
      <sz val="11"/>
      <color rgb="FF009900"/>
      <name val="Book Antiqua"/>
      <family val="1"/>
    </font>
    <font>
      <b/>
      <sz val="11"/>
      <color rgb="FFC00000"/>
      <name val="Book Antiqua"/>
      <family val="1"/>
    </font>
    <font>
      <sz val="11"/>
      <color rgb="FF000000"/>
      <name val="Book Antiqua"/>
      <family val="1"/>
    </font>
    <font>
      <sz val="10"/>
      <name val="Book Antiqua"/>
      <family val="1"/>
    </font>
    <font>
      <i/>
      <sz val="9"/>
      <color theme="1"/>
      <name val="Book Antiqua"/>
      <family val="1"/>
    </font>
    <font>
      <b/>
      <sz val="9"/>
      <color rgb="FF000000"/>
      <name val="Tahoma"/>
      <family val="2"/>
    </font>
    <font>
      <sz val="9"/>
      <color rgb="FF000000"/>
      <name val="Tahoma"/>
      <family val="2"/>
    </font>
    <font>
      <sz val="9"/>
      <color indexed="81"/>
      <name val="Tahoma"/>
      <charset val="1"/>
    </font>
    <font>
      <b/>
      <sz val="9"/>
      <color indexed="81"/>
      <name val="Tahoma"/>
      <charset val="1"/>
    </font>
    <font>
      <b/>
      <sz val="11"/>
      <color rgb="FF0000FF"/>
      <name val="Book Antiqua"/>
      <family val="1"/>
    </font>
  </fonts>
  <fills count="13">
    <fill>
      <patternFill patternType="none"/>
    </fill>
    <fill>
      <patternFill patternType="gray125"/>
    </fill>
    <fill>
      <patternFill patternType="solid">
        <fgColor rgb="FF002060"/>
        <bgColor indexed="64"/>
      </patternFill>
    </fill>
    <fill>
      <patternFill patternType="solid">
        <fgColor rgb="FFFFEBEB"/>
        <bgColor indexed="64"/>
      </patternFill>
    </fill>
    <fill>
      <patternFill patternType="solid">
        <fgColor theme="0"/>
        <bgColor indexed="64"/>
      </patternFill>
    </fill>
    <fill>
      <patternFill patternType="solid">
        <fgColor theme="0" tint="-0.14999847407452621"/>
        <bgColor indexed="64"/>
      </patternFill>
    </fill>
    <fill>
      <patternFill patternType="solid">
        <fgColor rgb="FFFFEFEF"/>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5F8"/>
        <bgColor indexed="64"/>
      </patternFill>
    </fill>
    <fill>
      <patternFill patternType="solid">
        <fgColor rgb="FFC00000"/>
        <bgColor indexed="64"/>
      </patternFill>
    </fill>
  </fills>
  <borders count="54">
    <border>
      <left/>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mediumDashed">
        <color indexed="64"/>
      </right>
      <top/>
      <bottom/>
      <diagonal/>
    </border>
    <border>
      <left/>
      <right style="mediumDashed">
        <color indexed="64"/>
      </right>
      <top/>
      <bottom style="medium">
        <color indexed="64"/>
      </bottom>
      <diagonal/>
    </border>
    <border>
      <left/>
      <right style="mediumDashed">
        <color indexed="64"/>
      </right>
      <top style="medium">
        <color indexed="64"/>
      </top>
      <bottom/>
      <diagonal/>
    </border>
    <border>
      <left/>
      <right style="thin">
        <color indexed="64"/>
      </right>
      <top/>
      <bottom/>
      <diagonal/>
    </border>
    <border>
      <left/>
      <right/>
      <top style="thin">
        <color indexed="64"/>
      </top>
      <bottom/>
      <diagonal/>
    </border>
    <border>
      <left/>
      <right style="mediumDashed">
        <color auto="1"/>
      </right>
      <top style="mediumDashed">
        <color auto="1"/>
      </top>
      <bottom style="mediumDashed">
        <color auto="1"/>
      </bottom>
      <diagonal/>
    </border>
    <border>
      <left/>
      <right/>
      <top style="mediumDashed">
        <color auto="1"/>
      </top>
      <bottom style="mediumDashed">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833">
    <xf numFmtId="0" fontId="0" fillId="0" borderId="0" xfId="0"/>
    <xf numFmtId="0" fontId="2" fillId="0" borderId="0" xfId="0" applyFont="1" applyAlignment="1">
      <alignment horizontal="center" vertical="center"/>
    </xf>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center" vertical="center"/>
    </xf>
    <xf numFmtId="37" fontId="2" fillId="0" borderId="0" xfId="0" applyNumberFormat="1" applyFont="1" applyAlignment="1">
      <alignment horizontal="right" vertical="top"/>
    </xf>
    <xf numFmtId="164" fontId="2" fillId="0" borderId="0" xfId="0" applyNumberFormat="1" applyFont="1" applyAlignment="1">
      <alignment horizontal="right" vertical="top"/>
    </xf>
    <xf numFmtId="164" fontId="0" fillId="0" borderId="0" xfId="0" applyNumberFormat="1"/>
    <xf numFmtId="0" fontId="4" fillId="0" borderId="0" xfId="0" applyFont="1"/>
    <xf numFmtId="0" fontId="6" fillId="0" borderId="0" xfId="0" applyFont="1" applyAlignment="1">
      <alignment horizontal="center" vertical="center"/>
    </xf>
    <xf numFmtId="0" fontId="6" fillId="0" borderId="0" xfId="0" applyFont="1" applyAlignment="1">
      <alignment vertical="top"/>
    </xf>
    <xf numFmtId="41" fontId="6" fillId="0" borderId="0" xfId="0" applyNumberFormat="1" applyFont="1" applyAlignment="1">
      <alignment horizontal="right" vertical="top"/>
    </xf>
    <xf numFmtId="0" fontId="6" fillId="0" borderId="0" xfId="0" applyFont="1" applyAlignment="1">
      <alignment wrapText="1"/>
    </xf>
    <xf numFmtId="0" fontId="6" fillId="0" borderId="0" xfId="0" applyFont="1"/>
    <xf numFmtId="0" fontId="5" fillId="0" borderId="0" xfId="0" applyFont="1" applyAlignment="1">
      <alignment horizontal="center" vertical="center"/>
    </xf>
    <xf numFmtId="37" fontId="5" fillId="0" borderId="0" xfId="0" applyNumberFormat="1" applyFont="1" applyAlignment="1">
      <alignment horizontal="right" vertical="top"/>
    </xf>
    <xf numFmtId="0" fontId="5" fillId="0" borderId="0" xfId="0" applyFont="1" applyAlignment="1">
      <alignment vertical="center"/>
    </xf>
    <xf numFmtId="41" fontId="6" fillId="0" borderId="0" xfId="0" applyNumberFormat="1" applyFont="1" applyAlignment="1">
      <alignment wrapText="1"/>
    </xf>
    <xf numFmtId="0" fontId="9" fillId="0" borderId="0" xfId="0" applyFont="1"/>
    <xf numFmtId="0" fontId="0" fillId="4" borderId="0" xfId="0" applyFill="1"/>
    <xf numFmtId="0" fontId="12" fillId="4" borderId="0" xfId="0" applyFont="1" applyFill="1" applyAlignment="1">
      <alignment vertical="center" wrapText="1"/>
    </xf>
    <xf numFmtId="0" fontId="9" fillId="4" borderId="0" xfId="0" applyFont="1" applyFill="1"/>
    <xf numFmtId="166" fontId="9" fillId="4" borderId="2" xfId="2" applyNumberFormat="1" applyFont="1" applyFill="1" applyBorder="1" applyAlignment="1">
      <alignment horizontal="right" vertical="top"/>
    </xf>
    <xf numFmtId="0" fontId="9" fillId="4" borderId="3" xfId="0" applyFont="1" applyFill="1" applyBorder="1"/>
    <xf numFmtId="10" fontId="9" fillId="4" borderId="4" xfId="0" applyNumberFormat="1" applyFont="1" applyFill="1" applyBorder="1" applyAlignment="1">
      <alignment horizontal="right" vertical="top"/>
    </xf>
    <xf numFmtId="0" fontId="9" fillId="4" borderId="5" xfId="0" applyFont="1" applyFill="1" applyBorder="1"/>
    <xf numFmtId="0" fontId="9" fillId="4" borderId="4" xfId="0" applyFont="1" applyFill="1" applyBorder="1" applyAlignment="1">
      <alignment horizontal="right" vertical="top"/>
    </xf>
    <xf numFmtId="166" fontId="9" fillId="4" borderId="4" xfId="2" applyNumberFormat="1" applyFont="1" applyFill="1" applyBorder="1" applyAlignment="1">
      <alignment horizontal="right" vertical="top"/>
    </xf>
    <xf numFmtId="8" fontId="9" fillId="4" borderId="4" xfId="0" applyNumberFormat="1" applyFont="1" applyFill="1" applyBorder="1" applyAlignment="1">
      <alignment horizontal="right" vertical="top"/>
    </xf>
    <xf numFmtId="166" fontId="9" fillId="4" borderId="6" xfId="2" applyNumberFormat="1" applyFont="1" applyFill="1" applyBorder="1" applyAlignment="1">
      <alignment horizontal="right" vertical="top"/>
    </xf>
    <xf numFmtId="0" fontId="9" fillId="4" borderId="7" xfId="0" applyFont="1" applyFill="1" applyBorder="1"/>
    <xf numFmtId="0" fontId="13" fillId="5" borderId="8" xfId="0" applyFont="1" applyFill="1" applyBorder="1" applyAlignment="1">
      <alignment horizontal="centerContinuous"/>
    </xf>
    <xf numFmtId="0" fontId="14" fillId="5" borderId="9" xfId="0" applyFont="1" applyFill="1" applyBorder="1" applyAlignment="1">
      <alignment horizontal="centerContinuous"/>
    </xf>
    <xf numFmtId="0" fontId="9" fillId="4" borderId="3" xfId="0" applyFont="1" applyFill="1" applyBorder="1" applyAlignment="1">
      <alignment horizontal="center"/>
    </xf>
    <xf numFmtId="0" fontId="9" fillId="4" borderId="6" xfId="0" applyFont="1" applyFill="1" applyBorder="1" applyAlignment="1">
      <alignment horizontal="center"/>
    </xf>
    <xf numFmtId="0" fontId="9" fillId="4" borderId="11" xfId="0" applyFont="1" applyFill="1" applyBorder="1" applyAlignment="1">
      <alignment horizontal="center"/>
    </xf>
    <xf numFmtId="0" fontId="9" fillId="4" borderId="7" xfId="0" applyFont="1" applyFill="1" applyBorder="1" applyAlignment="1">
      <alignment horizontal="center"/>
    </xf>
    <xf numFmtId="0" fontId="13" fillId="5" borderId="12" xfId="0" applyFont="1" applyFill="1" applyBorder="1" applyAlignment="1">
      <alignment horizontal="centerContinuous"/>
    </xf>
    <xf numFmtId="0" fontId="15" fillId="4" borderId="0" xfId="0" applyFont="1" applyFill="1"/>
    <xf numFmtId="41" fontId="9" fillId="4" borderId="0" xfId="0" applyNumberFormat="1" applyFont="1" applyFill="1" applyAlignment="1">
      <alignment horizontal="center"/>
    </xf>
    <xf numFmtId="41" fontId="9" fillId="4" borderId="0" xfId="0" applyNumberFormat="1" applyFont="1" applyFill="1"/>
    <xf numFmtId="41" fontId="9" fillId="4" borderId="2" xfId="2" applyNumberFormat="1" applyFont="1" applyFill="1" applyBorder="1" applyAlignment="1">
      <alignment horizontal="center"/>
    </xf>
    <xf numFmtId="41" fontId="9" fillId="4" borderId="10" xfId="2" applyNumberFormat="1" applyFont="1" applyFill="1" applyBorder="1" applyAlignment="1">
      <alignment horizontal="center"/>
    </xf>
    <xf numFmtId="41" fontId="9" fillId="4" borderId="3" xfId="2" applyNumberFormat="1" applyFont="1" applyFill="1" applyBorder="1" applyAlignment="1">
      <alignment horizontal="center"/>
    </xf>
    <xf numFmtId="0" fontId="9" fillId="4" borderId="13" xfId="0" applyFont="1" applyFill="1" applyBorder="1"/>
    <xf numFmtId="41" fontId="9" fillId="4" borderId="4" xfId="0" applyNumberFormat="1" applyFont="1" applyFill="1" applyBorder="1" applyAlignment="1">
      <alignment horizontal="center"/>
    </xf>
    <xf numFmtId="41" fontId="9" fillId="4" borderId="5" xfId="0" applyNumberFormat="1" applyFont="1" applyFill="1" applyBorder="1" applyAlignment="1">
      <alignment horizontal="center"/>
    </xf>
    <xf numFmtId="0" fontId="9" fillId="4" borderId="1" xfId="0" applyFont="1" applyFill="1" applyBorder="1"/>
    <xf numFmtId="41" fontId="9" fillId="4" borderId="1" xfId="0" applyNumberFormat="1" applyFont="1" applyFill="1" applyBorder="1" applyAlignment="1">
      <alignment horizontal="center"/>
    </xf>
    <xf numFmtId="41" fontId="9" fillId="4" borderId="4" xfId="0" quotePrefix="1" applyNumberFormat="1" applyFont="1" applyFill="1" applyBorder="1" applyAlignment="1">
      <alignment horizontal="center"/>
    </xf>
    <xf numFmtId="41" fontId="9" fillId="4" borderId="5" xfId="0" quotePrefix="1" applyNumberFormat="1" applyFont="1" applyFill="1" applyBorder="1" applyAlignment="1">
      <alignment horizontal="center"/>
    </xf>
    <xf numFmtId="0" fontId="9" fillId="4" borderId="0" xfId="0" applyFont="1" applyFill="1" applyAlignment="1">
      <alignment horizontal="center"/>
    </xf>
    <xf numFmtId="0" fontId="9" fillId="4" borderId="14" xfId="0" applyFont="1" applyFill="1" applyBorder="1"/>
    <xf numFmtId="0" fontId="7" fillId="5" borderId="8" xfId="0" applyFont="1" applyFill="1" applyBorder="1" applyAlignment="1">
      <alignment horizontal="centerContinuous"/>
    </xf>
    <xf numFmtId="0" fontId="7" fillId="5" borderId="12" xfId="0" applyFont="1" applyFill="1" applyBorder="1" applyAlignment="1">
      <alignment horizontal="centerContinuous"/>
    </xf>
    <xf numFmtId="0" fontId="7" fillId="5" borderId="9" xfId="0" applyFont="1" applyFill="1" applyBorder="1" applyAlignment="1">
      <alignment horizontal="centerContinuous"/>
    </xf>
    <xf numFmtId="0" fontId="14" fillId="5" borderId="15" xfId="0" applyFont="1" applyFill="1" applyBorder="1" applyAlignment="1">
      <alignment horizontal="center"/>
    </xf>
    <xf numFmtId="1" fontId="17" fillId="2" borderId="9" xfId="0" applyNumberFormat="1" applyFont="1" applyFill="1" applyBorder="1" applyAlignment="1">
      <alignment horizontal="left"/>
    </xf>
    <xf numFmtId="1" fontId="16" fillId="2" borderId="12" xfId="0" applyNumberFormat="1" applyFont="1" applyFill="1" applyBorder="1" applyAlignment="1">
      <alignment horizontal="left"/>
    </xf>
    <xf numFmtId="1" fontId="15" fillId="2" borderId="12" xfId="0" applyNumberFormat="1" applyFont="1" applyFill="1" applyBorder="1" applyAlignment="1">
      <alignment horizontal="center"/>
    </xf>
    <xf numFmtId="1" fontId="15" fillId="2" borderId="8" xfId="0" applyNumberFormat="1" applyFont="1" applyFill="1" applyBorder="1" applyAlignment="1">
      <alignment horizontal="center"/>
    </xf>
    <xf numFmtId="0" fontId="9" fillId="3" borderId="7" xfId="0" applyFont="1" applyFill="1" applyBorder="1" applyAlignment="1">
      <alignment horizontal="center"/>
    </xf>
    <xf numFmtId="0" fontId="9" fillId="3" borderId="11" xfId="0" applyFont="1" applyFill="1" applyBorder="1" applyAlignment="1">
      <alignment horizontal="center"/>
    </xf>
    <xf numFmtId="0" fontId="9" fillId="3" borderId="6" xfId="0" applyFont="1" applyFill="1" applyBorder="1" applyAlignment="1">
      <alignment horizontal="center"/>
    </xf>
    <xf numFmtId="41" fontId="9" fillId="3" borderId="5" xfId="0" applyNumberFormat="1" applyFont="1" applyFill="1" applyBorder="1" applyAlignment="1">
      <alignment horizontal="center"/>
    </xf>
    <xf numFmtId="41" fontId="9" fillId="3" borderId="0" xfId="0" applyNumberFormat="1" applyFont="1" applyFill="1" applyAlignment="1">
      <alignment horizontal="center"/>
    </xf>
    <xf numFmtId="41" fontId="9" fillId="3" borderId="4" xfId="0" applyNumberFormat="1" applyFont="1" applyFill="1" applyBorder="1" applyAlignment="1">
      <alignment horizontal="center"/>
    </xf>
    <xf numFmtId="41" fontId="9" fillId="3" borderId="3" xfId="0" applyNumberFormat="1" applyFont="1" applyFill="1" applyBorder="1" applyAlignment="1">
      <alignment horizontal="center"/>
    </xf>
    <xf numFmtId="41" fontId="9" fillId="3" borderId="10" xfId="0" applyNumberFormat="1" applyFont="1" applyFill="1" applyBorder="1" applyAlignment="1">
      <alignment horizontal="center"/>
    </xf>
    <xf numFmtId="41" fontId="9" fillId="3" borderId="2" xfId="0" applyNumberFormat="1" applyFont="1" applyFill="1" applyBorder="1" applyAlignment="1">
      <alignment horizontal="center"/>
    </xf>
    <xf numFmtId="41" fontId="9" fillId="3" borderId="0" xfId="0" quotePrefix="1" applyNumberFormat="1" applyFont="1" applyFill="1" applyAlignment="1">
      <alignment horizontal="center"/>
    </xf>
    <xf numFmtId="41" fontId="9" fillId="4" borderId="0" xfId="0" quotePrefix="1" applyNumberFormat="1" applyFont="1" applyFill="1" applyAlignment="1">
      <alignment horizontal="center"/>
    </xf>
    <xf numFmtId="41" fontId="9" fillId="4" borderId="3" xfId="0" applyNumberFormat="1" applyFont="1" applyFill="1" applyBorder="1" applyAlignment="1">
      <alignment horizontal="center"/>
    </xf>
    <xf numFmtId="41" fontId="9" fillId="4" borderId="10" xfId="0" applyNumberFormat="1" applyFont="1" applyFill="1" applyBorder="1" applyAlignment="1">
      <alignment horizontal="center"/>
    </xf>
    <xf numFmtId="0" fontId="9" fillId="0" borderId="5" xfId="0" applyFont="1" applyBorder="1"/>
    <xf numFmtId="0" fontId="9" fillId="0" borderId="4" xfId="0" applyFont="1" applyBorder="1"/>
    <xf numFmtId="14" fontId="9" fillId="0" borderId="5" xfId="0" applyNumberFormat="1" applyFont="1" applyBorder="1"/>
    <xf numFmtId="39" fontId="9" fillId="0" borderId="0" xfId="0" applyNumberFormat="1" applyFont="1"/>
    <xf numFmtId="4" fontId="9" fillId="0" borderId="0" xfId="0" applyNumberFormat="1" applyFont="1"/>
    <xf numFmtId="10" fontId="9" fillId="0" borderId="4" xfId="1" applyNumberFormat="1" applyFont="1" applyBorder="1"/>
    <xf numFmtId="14" fontId="9" fillId="0" borderId="3" xfId="0" applyNumberFormat="1" applyFont="1" applyBorder="1"/>
    <xf numFmtId="39" fontId="9" fillId="0" borderId="10" xfId="0" applyNumberFormat="1" applyFont="1" applyBorder="1"/>
    <xf numFmtId="10" fontId="9" fillId="0" borderId="2" xfId="1" applyNumberFormat="1" applyFont="1" applyBorder="1"/>
    <xf numFmtId="4" fontId="9" fillId="0" borderId="10" xfId="0" applyNumberFormat="1" applyFont="1" applyBorder="1"/>
    <xf numFmtId="2" fontId="9" fillId="4" borderId="4" xfId="0" applyNumberFormat="1" applyFont="1" applyFill="1" applyBorder="1"/>
    <xf numFmtId="10" fontId="9" fillId="4" borderId="4" xfId="1" applyNumberFormat="1" applyFont="1" applyFill="1" applyBorder="1"/>
    <xf numFmtId="10" fontId="9" fillId="4" borderId="2" xfId="1" applyNumberFormat="1" applyFont="1" applyFill="1" applyBorder="1"/>
    <xf numFmtId="0" fontId="7" fillId="5" borderId="9" xfId="0" applyFont="1" applyFill="1" applyBorder="1"/>
    <xf numFmtId="0" fontId="7" fillId="5" borderId="12" xfId="0" applyFont="1" applyFill="1" applyBorder="1" applyAlignment="1">
      <alignment horizontal="center"/>
    </xf>
    <xf numFmtId="0" fontId="7" fillId="5" borderId="8" xfId="0" applyFont="1" applyFill="1" applyBorder="1" applyAlignment="1">
      <alignment horizontal="center"/>
    </xf>
    <xf numFmtId="0" fontId="7" fillId="5" borderId="9" xfId="0" applyFont="1" applyFill="1" applyBorder="1" applyAlignment="1">
      <alignment horizontal="center"/>
    </xf>
    <xf numFmtId="166" fontId="9" fillId="4" borderId="11" xfId="2" applyNumberFormat="1" applyFont="1" applyFill="1" applyBorder="1" applyAlignment="1">
      <alignment horizontal="right" vertical="top"/>
    </xf>
    <xf numFmtId="0" fontId="8" fillId="4" borderId="7" xfId="0" applyFont="1" applyFill="1" applyBorder="1"/>
    <xf numFmtId="168" fontId="13" fillId="4" borderId="11" xfId="0" applyNumberFormat="1" applyFont="1" applyFill="1" applyBorder="1" applyAlignment="1">
      <alignment horizontal="center"/>
    </xf>
    <xf numFmtId="168" fontId="13" fillId="4" borderId="6" xfId="0" applyNumberFormat="1" applyFont="1" applyFill="1" applyBorder="1" applyAlignment="1">
      <alignment horizontal="center"/>
    </xf>
    <xf numFmtId="169" fontId="9" fillId="4" borderId="2" xfId="0" applyNumberFormat="1" applyFont="1" applyFill="1" applyBorder="1" applyAlignment="1">
      <alignment horizontal="center"/>
    </xf>
    <xf numFmtId="168" fontId="9" fillId="4" borderId="0" xfId="0" applyNumberFormat="1" applyFont="1" applyFill="1" applyAlignment="1">
      <alignment horizontal="right" vertical="top"/>
    </xf>
    <xf numFmtId="168" fontId="9" fillId="4" borderId="4" xfId="0" applyNumberFormat="1" applyFont="1" applyFill="1" applyBorder="1" applyAlignment="1">
      <alignment horizontal="right" vertical="top"/>
    </xf>
    <xf numFmtId="0" fontId="8" fillId="4" borderId="5" xfId="0" applyFont="1" applyFill="1" applyBorder="1"/>
    <xf numFmtId="168" fontId="13" fillId="4" borderId="0" xfId="0" applyNumberFormat="1" applyFont="1" applyFill="1" applyAlignment="1">
      <alignment horizontal="center"/>
    </xf>
    <xf numFmtId="168" fontId="13" fillId="4" borderId="4" xfId="0" applyNumberFormat="1" applyFont="1" applyFill="1" applyBorder="1" applyAlignment="1">
      <alignment horizontal="center"/>
    </xf>
    <xf numFmtId="166" fontId="9" fillId="4" borderId="0" xfId="2" applyNumberFormat="1" applyFont="1" applyFill="1" applyAlignment="1">
      <alignment horizontal="right" vertical="top"/>
    </xf>
    <xf numFmtId="0" fontId="8" fillId="4" borderId="3" xfId="0" applyFont="1" applyFill="1" applyBorder="1"/>
    <xf numFmtId="168" fontId="13" fillId="4" borderId="10" xfId="0" applyNumberFormat="1" applyFont="1" applyFill="1" applyBorder="1" applyAlignment="1">
      <alignment horizontal="center"/>
    </xf>
    <xf numFmtId="168" fontId="13" fillId="4" borderId="2" xfId="0" applyNumberFormat="1" applyFont="1" applyFill="1" applyBorder="1" applyAlignment="1">
      <alignment horizontal="center"/>
    </xf>
    <xf numFmtId="169" fontId="9" fillId="4" borderId="11" xfId="0" applyNumberFormat="1" applyFont="1" applyFill="1" applyBorder="1" applyAlignment="1">
      <alignment horizontal="center"/>
    </xf>
    <xf numFmtId="165" fontId="13" fillId="4" borderId="6" xfId="1" applyNumberFormat="1" applyFont="1" applyFill="1" applyBorder="1" applyAlignment="1">
      <alignment horizontal="center"/>
    </xf>
    <xf numFmtId="169" fontId="9" fillId="4" borderId="0" xfId="0" applyNumberFormat="1" applyFont="1" applyFill="1" applyAlignment="1">
      <alignment horizontal="center"/>
    </xf>
    <xf numFmtId="165" fontId="13" fillId="4" borderId="4" xfId="1" applyNumberFormat="1" applyFont="1" applyFill="1" applyBorder="1" applyAlignment="1">
      <alignment horizontal="center"/>
    </xf>
    <xf numFmtId="0" fontId="8" fillId="4" borderId="9" xfId="0" applyFont="1" applyFill="1" applyBorder="1"/>
    <xf numFmtId="169" fontId="8" fillId="4" borderId="12" xfId="0" applyNumberFormat="1" applyFont="1" applyFill="1" applyBorder="1"/>
    <xf numFmtId="169" fontId="8" fillId="4" borderId="8" xfId="0" applyNumberFormat="1" applyFont="1" applyFill="1" applyBorder="1"/>
    <xf numFmtId="169" fontId="9" fillId="4" borderId="10" xfId="0" applyNumberFormat="1" applyFont="1" applyFill="1" applyBorder="1" applyAlignment="1">
      <alignment horizontal="center"/>
    </xf>
    <xf numFmtId="165" fontId="13" fillId="4" borderId="2" xfId="1" applyNumberFormat="1" applyFont="1" applyFill="1" applyBorder="1" applyAlignment="1">
      <alignment horizontal="center"/>
    </xf>
    <xf numFmtId="169" fontId="9" fillId="4" borderId="0" xfId="0" applyNumberFormat="1" applyFont="1" applyFill="1"/>
    <xf numFmtId="166" fontId="9" fillId="4" borderId="11" xfId="2" applyNumberFormat="1" applyFont="1" applyFill="1" applyBorder="1" applyAlignment="1">
      <alignment horizontal="right"/>
    </xf>
    <xf numFmtId="166" fontId="9" fillId="4" borderId="4" xfId="2" applyNumberFormat="1" applyFont="1" applyFill="1" applyBorder="1" applyAlignment="1">
      <alignment horizontal="right"/>
    </xf>
    <xf numFmtId="168" fontId="9" fillId="4" borderId="0" xfId="0" applyNumberFormat="1" applyFont="1" applyFill="1" applyAlignment="1">
      <alignment horizontal="right"/>
    </xf>
    <xf numFmtId="168" fontId="9" fillId="4" borderId="4" xfId="0" applyNumberFormat="1" applyFont="1" applyFill="1" applyBorder="1" applyAlignment="1">
      <alignment horizontal="right"/>
    </xf>
    <xf numFmtId="0" fontId="13" fillId="4" borderId="7" xfId="0" applyFont="1" applyFill="1" applyBorder="1"/>
    <xf numFmtId="169" fontId="13" fillId="4" borderId="11" xfId="0" applyNumberFormat="1" applyFont="1" applyFill="1" applyBorder="1" applyAlignment="1">
      <alignment horizontal="center"/>
    </xf>
    <xf numFmtId="169" fontId="13" fillId="4" borderId="4" xfId="0" applyNumberFormat="1" applyFont="1" applyFill="1" applyBorder="1" applyAlignment="1">
      <alignment horizontal="center"/>
    </xf>
    <xf numFmtId="169" fontId="15" fillId="4" borderId="0" xfId="0" applyNumberFormat="1" applyFont="1" applyFill="1"/>
    <xf numFmtId="166" fontId="9" fillId="4" borderId="0" xfId="2" applyNumberFormat="1" applyFont="1" applyFill="1" applyAlignment="1">
      <alignment horizontal="right"/>
    </xf>
    <xf numFmtId="0" fontId="13" fillId="4" borderId="3" xfId="0" applyFont="1" applyFill="1" applyBorder="1"/>
    <xf numFmtId="165" fontId="13" fillId="4" borderId="10" xfId="1" applyNumberFormat="1" applyFont="1" applyFill="1" applyBorder="1" applyAlignment="1">
      <alignment horizontal="center"/>
    </xf>
    <xf numFmtId="9" fontId="13" fillId="4" borderId="10" xfId="1" applyFont="1" applyFill="1" applyBorder="1" applyAlignment="1">
      <alignment horizontal="center"/>
    </xf>
    <xf numFmtId="9" fontId="13" fillId="4" borderId="2" xfId="1" applyFont="1" applyFill="1" applyBorder="1" applyAlignment="1">
      <alignment horizontal="center"/>
    </xf>
    <xf numFmtId="166" fontId="9" fillId="4" borderId="10" xfId="2" applyNumberFormat="1" applyFont="1" applyFill="1" applyBorder="1" applyAlignment="1">
      <alignment horizontal="right"/>
    </xf>
    <xf numFmtId="170" fontId="9" fillId="4" borderId="0" xfId="0" applyNumberFormat="1" applyFont="1" applyFill="1"/>
    <xf numFmtId="169" fontId="9" fillId="4" borderId="11" xfId="0" applyNumberFormat="1" applyFont="1" applyFill="1" applyBorder="1"/>
    <xf numFmtId="169" fontId="9" fillId="4" borderId="6" xfId="2" applyNumberFormat="1" applyFont="1" applyFill="1" applyBorder="1"/>
    <xf numFmtId="168" fontId="9" fillId="4" borderId="10" xfId="0" applyNumberFormat="1" applyFont="1" applyFill="1" applyBorder="1"/>
    <xf numFmtId="168" fontId="9" fillId="4" borderId="2" xfId="0" applyNumberFormat="1" applyFont="1" applyFill="1" applyBorder="1"/>
    <xf numFmtId="166" fontId="13" fillId="4" borderId="0" xfId="2" applyNumberFormat="1" applyFont="1" applyFill="1" applyAlignment="1">
      <alignment horizontal="right" vertical="center"/>
    </xf>
    <xf numFmtId="166" fontId="13" fillId="4" borderId="6" xfId="2" applyNumberFormat="1" applyFont="1" applyFill="1" applyBorder="1" applyAlignment="1">
      <alignment horizontal="right" vertical="center"/>
    </xf>
    <xf numFmtId="166" fontId="9" fillId="4" borderId="0" xfId="2" applyNumberFormat="1" applyFont="1" applyFill="1" applyAlignment="1">
      <alignment horizontal="right" vertical="center"/>
    </xf>
    <xf numFmtId="166" fontId="9" fillId="4" borderId="4" xfId="2" applyNumberFormat="1" applyFont="1" applyFill="1" applyBorder="1" applyAlignment="1">
      <alignment horizontal="right" vertical="center"/>
    </xf>
    <xf numFmtId="169" fontId="9" fillId="4" borderId="0" xfId="0" applyNumberFormat="1" applyFont="1" applyFill="1" applyAlignment="1">
      <alignment horizontal="right" vertical="center"/>
    </xf>
    <xf numFmtId="169" fontId="9" fillId="4" borderId="4" xfId="0" applyNumberFormat="1" applyFont="1" applyFill="1" applyBorder="1" applyAlignment="1">
      <alignment horizontal="right" vertical="center"/>
    </xf>
    <xf numFmtId="169" fontId="13" fillId="4" borderId="10" xfId="2" applyNumberFormat="1" applyFont="1" applyFill="1" applyBorder="1" applyAlignment="1">
      <alignment horizontal="right" vertical="center"/>
    </xf>
    <xf numFmtId="169" fontId="13" fillId="4" borderId="2" xfId="2" applyNumberFormat="1" applyFont="1" applyFill="1" applyBorder="1" applyAlignment="1">
      <alignment horizontal="right" vertical="center"/>
    </xf>
    <xf numFmtId="0" fontId="9" fillId="4" borderId="5" xfId="0" quotePrefix="1" applyFont="1" applyFill="1" applyBorder="1"/>
    <xf numFmtId="166" fontId="9" fillId="0" borderId="0" xfId="2" applyNumberFormat="1" applyFont="1" applyFill="1" applyAlignment="1">
      <alignment horizontal="right" vertical="top"/>
    </xf>
    <xf numFmtId="166" fontId="9" fillId="0" borderId="10" xfId="2" applyNumberFormat="1" applyFont="1" applyFill="1" applyBorder="1" applyAlignment="1">
      <alignment horizontal="right" vertical="top"/>
    </xf>
    <xf numFmtId="0" fontId="18" fillId="2" borderId="12" xfId="0" applyFont="1" applyFill="1" applyBorder="1"/>
    <xf numFmtId="0" fontId="15" fillId="2" borderId="12" xfId="0" applyFont="1" applyFill="1" applyBorder="1"/>
    <xf numFmtId="0" fontId="9" fillId="4" borderId="0" xfId="0" applyFont="1" applyFill="1" applyAlignment="1">
      <alignment horizontal="left"/>
    </xf>
    <xf numFmtId="0" fontId="8" fillId="4" borderId="0" xfId="0" applyFont="1" applyFill="1"/>
    <xf numFmtId="0" fontId="20" fillId="4" borderId="0" xfId="0" applyFont="1" applyFill="1" applyAlignment="1">
      <alignment horizontal="right"/>
    </xf>
    <xf numFmtId="165" fontId="21" fillId="4" borderId="0" xfId="1" applyNumberFormat="1" applyFont="1" applyFill="1" applyAlignment="1"/>
    <xf numFmtId="0" fontId="8" fillId="4" borderId="16" xfId="0" applyFont="1" applyFill="1" applyBorder="1"/>
    <xf numFmtId="0" fontId="9" fillId="4" borderId="16" xfId="0" applyFont="1" applyFill="1" applyBorder="1"/>
    <xf numFmtId="41" fontId="8" fillId="4" borderId="16" xfId="0" applyNumberFormat="1" applyFont="1" applyFill="1" applyBorder="1"/>
    <xf numFmtId="166" fontId="9" fillId="4" borderId="0" xfId="0" applyNumberFormat="1" applyFont="1" applyFill="1" applyAlignment="1">
      <alignment horizontal="left"/>
    </xf>
    <xf numFmtId="41" fontId="8" fillId="4" borderId="0" xfId="0" applyNumberFormat="1" applyFont="1" applyFill="1"/>
    <xf numFmtId="171" fontId="9" fillId="4" borderId="0" xfId="0" applyNumberFormat="1" applyFont="1" applyFill="1"/>
    <xf numFmtId="41" fontId="9" fillId="4" borderId="16" xfId="0" applyNumberFormat="1" applyFont="1" applyFill="1" applyBorder="1"/>
    <xf numFmtId="10" fontId="8" fillId="4" borderId="16" xfId="1" applyNumberFormat="1" applyFont="1" applyFill="1" applyBorder="1" applyAlignment="1"/>
    <xf numFmtId="165" fontId="9" fillId="4" borderId="0" xfId="0" applyNumberFormat="1" applyFont="1" applyFill="1"/>
    <xf numFmtId="10" fontId="9" fillId="4" borderId="0" xfId="0" applyNumberFormat="1" applyFont="1" applyFill="1"/>
    <xf numFmtId="165" fontId="22" fillId="4" borderId="0" xfId="0" applyNumberFormat="1" applyFont="1" applyFill="1"/>
    <xf numFmtId="2" fontId="13" fillId="4" borderId="0" xfId="0" applyNumberFormat="1" applyFont="1" applyFill="1"/>
    <xf numFmtId="172" fontId="9" fillId="4" borderId="0" xfId="0" applyNumberFormat="1" applyFont="1" applyFill="1"/>
    <xf numFmtId="10" fontId="22" fillId="4" borderId="0" xfId="0" applyNumberFormat="1" applyFont="1" applyFill="1"/>
    <xf numFmtId="10" fontId="9" fillId="5" borderId="9" xfId="1" applyNumberFormat="1" applyFont="1" applyFill="1" applyBorder="1" applyAlignment="1"/>
    <xf numFmtId="10" fontId="9" fillId="5" borderId="12" xfId="1" applyNumberFormat="1" applyFont="1" applyFill="1" applyBorder="1" applyAlignment="1"/>
    <xf numFmtId="10" fontId="9" fillId="5" borderId="8" xfId="1" applyNumberFormat="1" applyFont="1" applyFill="1" applyBorder="1" applyAlignment="1"/>
    <xf numFmtId="10" fontId="9" fillId="5" borderId="14" xfId="1" applyNumberFormat="1" applyFont="1" applyFill="1" applyBorder="1" applyAlignment="1"/>
    <xf numFmtId="2" fontId="9" fillId="4" borderId="7" xfId="0" applyNumberFormat="1" applyFont="1" applyFill="1" applyBorder="1" applyAlignment="1">
      <alignment horizontal="center"/>
    </xf>
    <xf numFmtId="2" fontId="9" fillId="4" borderId="11" xfId="0" applyNumberFormat="1" applyFont="1" applyFill="1" applyBorder="1" applyAlignment="1">
      <alignment horizontal="center"/>
    </xf>
    <xf numFmtId="2" fontId="9" fillId="4" borderId="6" xfId="0" applyNumberFormat="1" applyFont="1" applyFill="1" applyBorder="1" applyAlignment="1">
      <alignment horizontal="center"/>
    </xf>
    <xf numFmtId="10" fontId="9" fillId="5" borderId="1" xfId="1" applyNumberFormat="1" applyFont="1" applyFill="1" applyBorder="1" applyAlignment="1"/>
    <xf numFmtId="2" fontId="9" fillId="4" borderId="5" xfId="0" applyNumberFormat="1" applyFont="1" applyFill="1" applyBorder="1" applyAlignment="1">
      <alignment horizontal="center"/>
    </xf>
    <xf numFmtId="2" fontId="9" fillId="4" borderId="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3" xfId="0" applyNumberFormat="1" applyFont="1" applyFill="1" applyBorder="1" applyAlignment="1">
      <alignment horizontal="center"/>
    </xf>
    <xf numFmtId="2" fontId="9" fillId="4" borderId="10" xfId="0" applyNumberFormat="1" applyFont="1" applyFill="1" applyBorder="1" applyAlignment="1">
      <alignment horizontal="center"/>
    </xf>
    <xf numFmtId="2" fontId="9" fillId="4" borderId="2" xfId="0" applyNumberFormat="1" applyFont="1" applyFill="1" applyBorder="1" applyAlignment="1">
      <alignment horizontal="center"/>
    </xf>
    <xf numFmtId="10" fontId="9" fillId="5" borderId="13" xfId="1" applyNumberFormat="1" applyFont="1" applyFill="1" applyBorder="1" applyAlignment="1"/>
    <xf numFmtId="0" fontId="9" fillId="0" borderId="1" xfId="0" applyFont="1" applyBorder="1"/>
    <xf numFmtId="41" fontId="8" fillId="4" borderId="0" xfId="0" applyNumberFormat="1" applyFont="1" applyFill="1" applyAlignment="1">
      <alignment horizontal="center"/>
    </xf>
    <xf numFmtId="171" fontId="9" fillId="4" borderId="0" xfId="0" applyNumberFormat="1" applyFont="1" applyFill="1" applyAlignment="1">
      <alignment horizontal="center"/>
    </xf>
    <xf numFmtId="41" fontId="9" fillId="4" borderId="16" xfId="0" applyNumberFormat="1" applyFont="1" applyFill="1" applyBorder="1" applyAlignment="1">
      <alignment horizontal="center"/>
    </xf>
    <xf numFmtId="166" fontId="8" fillId="4" borderId="0" xfId="0" applyNumberFormat="1" applyFont="1" applyFill="1"/>
    <xf numFmtId="166" fontId="8" fillId="4" borderId="16" xfId="0" applyNumberFormat="1" applyFont="1" applyFill="1" applyBorder="1"/>
    <xf numFmtId="41" fontId="9" fillId="4" borderId="0" xfId="0" applyNumberFormat="1" applyFont="1" applyFill="1" applyAlignment="1">
      <alignment horizontal="right"/>
    </xf>
    <xf numFmtId="165" fontId="21" fillId="4" borderId="0" xfId="1" applyNumberFormat="1" applyFont="1" applyFill="1" applyAlignment="1">
      <alignment horizontal="right"/>
    </xf>
    <xf numFmtId="41" fontId="8" fillId="4" borderId="16" xfId="0" applyNumberFormat="1" applyFont="1" applyFill="1" applyBorder="1" applyAlignment="1">
      <alignment horizontal="right"/>
    </xf>
    <xf numFmtId="166" fontId="9" fillId="4" borderId="0" xfId="0" applyNumberFormat="1" applyFont="1" applyFill="1" applyAlignment="1">
      <alignment horizontal="right"/>
    </xf>
    <xf numFmtId="166" fontId="9" fillId="4" borderId="0" xfId="0" applyNumberFormat="1" applyFont="1" applyFill="1"/>
    <xf numFmtId="0" fontId="9" fillId="3" borderId="7" xfId="0" applyFont="1" applyFill="1" applyBorder="1"/>
    <xf numFmtId="169" fontId="9" fillId="3" borderId="6" xfId="0" applyNumberFormat="1" applyFont="1" applyFill="1" applyBorder="1" applyAlignment="1">
      <alignment horizontal="center"/>
    </xf>
    <xf numFmtId="0" fontId="7" fillId="3" borderId="9" xfId="0" applyFont="1" applyFill="1" applyBorder="1"/>
    <xf numFmtId="10" fontId="7" fillId="3" borderId="8" xfId="0" applyNumberFormat="1" applyFont="1" applyFill="1" applyBorder="1" applyAlignment="1">
      <alignment horizontal="center"/>
    </xf>
    <xf numFmtId="0" fontId="8" fillId="5" borderId="9" xfId="0" applyFont="1" applyFill="1" applyBorder="1"/>
    <xf numFmtId="0" fontId="8" fillId="5" borderId="12" xfId="0" applyFont="1" applyFill="1" applyBorder="1"/>
    <xf numFmtId="0" fontId="8" fillId="5" borderId="8" xfId="0" applyFont="1" applyFill="1" applyBorder="1"/>
    <xf numFmtId="0" fontId="9" fillId="2" borderId="12" xfId="0" applyFont="1" applyFill="1" applyBorder="1"/>
    <xf numFmtId="0" fontId="9" fillId="2" borderId="8" xfId="0" applyFont="1" applyFill="1" applyBorder="1"/>
    <xf numFmtId="0" fontId="9" fillId="5" borderId="12" xfId="0" applyFont="1" applyFill="1" applyBorder="1"/>
    <xf numFmtId="0" fontId="9" fillId="5" borderId="8" xfId="0" applyFont="1" applyFill="1" applyBorder="1"/>
    <xf numFmtId="0" fontId="9" fillId="2" borderId="0" xfId="0" applyFont="1" applyFill="1"/>
    <xf numFmtId="0" fontId="13" fillId="2" borderId="0" xfId="0" applyFont="1" applyFill="1" applyAlignment="1">
      <alignment vertical="top"/>
    </xf>
    <xf numFmtId="0" fontId="7" fillId="0" borderId="0" xfId="0" applyFont="1" applyAlignment="1">
      <alignment vertical="top"/>
    </xf>
    <xf numFmtId="0" fontId="13" fillId="0" borderId="0" xfId="0" applyFont="1" applyAlignment="1">
      <alignment vertical="top"/>
    </xf>
    <xf numFmtId="164" fontId="13" fillId="0" borderId="0" xfId="0" applyNumberFormat="1" applyFont="1" applyAlignment="1">
      <alignment horizontal="right" vertical="top"/>
    </xf>
    <xf numFmtId="164" fontId="9" fillId="0" borderId="0" xfId="0" applyNumberFormat="1" applyFont="1"/>
    <xf numFmtId="165" fontId="24" fillId="0" borderId="0" xfId="1" applyNumberFormat="1" applyFont="1"/>
    <xf numFmtId="0" fontId="18" fillId="2" borderId="14" xfId="0" applyFont="1" applyFill="1" applyBorder="1" applyAlignment="1">
      <alignment vertical="center"/>
    </xf>
    <xf numFmtId="0" fontId="13" fillId="0" borderId="1" xfId="0" applyFont="1" applyBorder="1" applyAlignment="1">
      <alignment horizontal="left" vertical="top" indent="2"/>
    </xf>
    <xf numFmtId="0" fontId="7" fillId="0" borderId="1" xfId="0" applyFont="1" applyBorder="1" applyAlignment="1">
      <alignment vertical="top"/>
    </xf>
    <xf numFmtId="0" fontId="26" fillId="0" borderId="1" xfId="0" applyFont="1" applyBorder="1" applyAlignment="1">
      <alignment vertical="top"/>
    </xf>
    <xf numFmtId="0" fontId="7" fillId="0" borderId="1" xfId="0" applyFont="1" applyBorder="1" applyAlignment="1">
      <alignment horizontal="left" vertical="top"/>
    </xf>
    <xf numFmtId="0" fontId="13" fillId="0" borderId="1" xfId="0" applyFont="1" applyBorder="1" applyAlignment="1">
      <alignment vertical="top"/>
    </xf>
    <xf numFmtId="0" fontId="8" fillId="0" borderId="1" xfId="0" applyFont="1" applyBorder="1"/>
    <xf numFmtId="0" fontId="13" fillId="0" borderId="13" xfId="0" applyFont="1" applyBorder="1" applyAlignment="1">
      <alignment vertical="top"/>
    </xf>
    <xf numFmtId="0" fontId="18" fillId="2" borderId="15" xfId="0" applyFont="1" applyFill="1" applyBorder="1" applyAlignment="1">
      <alignment vertical="center"/>
    </xf>
    <xf numFmtId="41" fontId="7" fillId="0" borderId="18" xfId="0" applyNumberFormat="1" applyFont="1" applyBorder="1" applyAlignment="1">
      <alignment horizontal="right" vertical="top"/>
    </xf>
    <xf numFmtId="165" fontId="26" fillId="0" borderId="18" xfId="1" applyNumberFormat="1" applyFont="1" applyBorder="1" applyAlignment="1">
      <alignment horizontal="right" vertical="top"/>
    </xf>
    <xf numFmtId="41" fontId="13" fillId="0" borderId="18" xfId="0" applyNumberFormat="1" applyFont="1" applyBorder="1" applyAlignment="1">
      <alignment horizontal="right" vertical="top"/>
    </xf>
    <xf numFmtId="41" fontId="8" fillId="0" borderId="18" xfId="0" applyNumberFormat="1" applyFont="1" applyBorder="1"/>
    <xf numFmtId="7" fontId="13" fillId="0" borderId="18" xfId="0" applyNumberFormat="1" applyFont="1" applyBorder="1" applyAlignment="1">
      <alignment horizontal="right" vertical="top"/>
    </xf>
    <xf numFmtId="165" fontId="9" fillId="0" borderId="18" xfId="1" applyNumberFormat="1" applyFont="1" applyBorder="1"/>
    <xf numFmtId="0" fontId="9" fillId="0" borderId="18" xfId="0" applyFont="1" applyBorder="1"/>
    <xf numFmtId="41" fontId="9" fillId="0" borderId="18" xfId="0" applyNumberFormat="1" applyFont="1" applyBorder="1"/>
    <xf numFmtId="0" fontId="8" fillId="0" borderId="18" xfId="0" applyFont="1" applyBorder="1"/>
    <xf numFmtId="167" fontId="9" fillId="0" borderId="18" xfId="0" applyNumberFormat="1" applyFont="1" applyBorder="1"/>
    <xf numFmtId="167" fontId="8" fillId="0" borderId="18" xfId="0" applyNumberFormat="1" applyFont="1" applyBorder="1"/>
    <xf numFmtId="0" fontId="29" fillId="2" borderId="0" xfId="0" applyFont="1" applyFill="1" applyAlignment="1">
      <alignment horizontal="center" vertical="center"/>
    </xf>
    <xf numFmtId="0" fontId="7" fillId="0" borderId="14" xfId="0" applyFont="1" applyBorder="1" applyAlignment="1">
      <alignment vertical="top"/>
    </xf>
    <xf numFmtId="0" fontId="9" fillId="0" borderId="13" xfId="0" applyFont="1" applyBorder="1"/>
    <xf numFmtId="0" fontId="9" fillId="0" borderId="1" xfId="0" applyFont="1" applyBorder="1" applyAlignment="1">
      <alignment horizontal="left" indent="1"/>
    </xf>
    <xf numFmtId="0" fontId="28" fillId="2" borderId="7"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6" xfId="0" applyFont="1" applyFill="1" applyBorder="1" applyAlignment="1">
      <alignment horizontal="center" vertical="center"/>
    </xf>
    <xf numFmtId="41" fontId="7" fillId="0" borderId="5" xfId="0" applyNumberFormat="1" applyFont="1" applyBorder="1" applyAlignment="1">
      <alignment horizontal="right" vertical="top"/>
    </xf>
    <xf numFmtId="41" fontId="7" fillId="0" borderId="0" xfId="0" applyNumberFormat="1" applyFont="1" applyAlignment="1">
      <alignment horizontal="right" vertical="top"/>
    </xf>
    <xf numFmtId="41" fontId="7" fillId="0" borderId="4" xfId="0" applyNumberFormat="1" applyFont="1" applyBorder="1" applyAlignment="1">
      <alignment horizontal="right" vertical="top"/>
    </xf>
    <xf numFmtId="165" fontId="26" fillId="0" borderId="5" xfId="1" applyNumberFormat="1" applyFont="1" applyBorder="1" applyAlignment="1">
      <alignment horizontal="right" vertical="top"/>
    </xf>
    <xf numFmtId="165" fontId="26" fillId="0" borderId="0" xfId="1" applyNumberFormat="1" applyFont="1" applyBorder="1" applyAlignment="1">
      <alignment horizontal="right" vertical="top"/>
    </xf>
    <xf numFmtId="165" fontId="26" fillId="0" borderId="4" xfId="1" applyNumberFormat="1" applyFont="1" applyBorder="1" applyAlignment="1">
      <alignment horizontal="right" vertical="top"/>
    </xf>
    <xf numFmtId="41" fontId="13" fillId="0" borderId="5" xfId="0" applyNumberFormat="1" applyFont="1" applyBorder="1" applyAlignment="1">
      <alignment horizontal="right" vertical="top"/>
    </xf>
    <xf numFmtId="41" fontId="13" fillId="0" borderId="0" xfId="0" applyNumberFormat="1" applyFont="1" applyAlignment="1">
      <alignment horizontal="right" vertical="top"/>
    </xf>
    <xf numFmtId="41" fontId="13" fillId="0" borderId="4" xfId="0" applyNumberFormat="1" applyFont="1" applyBorder="1" applyAlignment="1">
      <alignment horizontal="right" vertical="top"/>
    </xf>
    <xf numFmtId="41" fontId="8" fillId="0" borderId="5" xfId="0" applyNumberFormat="1" applyFont="1" applyBorder="1"/>
    <xf numFmtId="41" fontId="8" fillId="0" borderId="0" xfId="0" applyNumberFormat="1" applyFont="1"/>
    <xf numFmtId="41" fontId="8" fillId="0" borderId="4" xfId="0" applyNumberFormat="1" applyFont="1" applyBorder="1"/>
    <xf numFmtId="7" fontId="13" fillId="0" borderId="5" xfId="0" applyNumberFormat="1" applyFont="1" applyBorder="1" applyAlignment="1">
      <alignment horizontal="right" vertical="top"/>
    </xf>
    <xf numFmtId="7" fontId="13" fillId="0" borderId="0" xfId="0" applyNumberFormat="1" applyFont="1" applyAlignment="1">
      <alignment horizontal="right" vertical="top"/>
    </xf>
    <xf numFmtId="7" fontId="13" fillId="0" borderId="4" xfId="0" applyNumberFormat="1" applyFont="1" applyBorder="1" applyAlignment="1">
      <alignment horizontal="right" vertical="top"/>
    </xf>
    <xf numFmtId="41" fontId="13" fillId="0" borderId="3" xfId="0" applyNumberFormat="1" applyFont="1" applyBorder="1" applyAlignment="1">
      <alignment horizontal="right" vertical="top"/>
    </xf>
    <xf numFmtId="41" fontId="13" fillId="0" borderId="10" xfId="0" applyNumberFormat="1" applyFont="1" applyBorder="1" applyAlignment="1">
      <alignment horizontal="right" vertical="top"/>
    </xf>
    <xf numFmtId="41" fontId="13" fillId="0" borderId="2" xfId="0" applyNumberFormat="1" applyFont="1" applyBorder="1" applyAlignment="1">
      <alignment horizontal="right" vertical="top"/>
    </xf>
    <xf numFmtId="43" fontId="9" fillId="0" borderId="5" xfId="0" applyNumberFormat="1" applyFont="1" applyBorder="1"/>
    <xf numFmtId="43" fontId="9" fillId="0" borderId="0" xfId="0" applyNumberFormat="1" applyFont="1"/>
    <xf numFmtId="43" fontId="9" fillId="0" borderId="4" xfId="0" applyNumberFormat="1" applyFont="1" applyBorder="1"/>
    <xf numFmtId="165" fontId="9" fillId="0" borderId="5" xfId="1" applyNumberFormat="1" applyFont="1" applyBorder="1"/>
    <xf numFmtId="165" fontId="9" fillId="0" borderId="0" xfId="1" applyNumberFormat="1" applyFont="1" applyBorder="1"/>
    <xf numFmtId="165" fontId="9" fillId="0" borderId="4" xfId="1" applyNumberFormat="1" applyFont="1" applyBorder="1"/>
    <xf numFmtId="165" fontId="9" fillId="0" borderId="3" xfId="1" applyNumberFormat="1" applyFont="1" applyBorder="1"/>
    <xf numFmtId="165" fontId="9" fillId="0" borderId="10" xfId="1" applyNumberFormat="1" applyFont="1" applyBorder="1"/>
    <xf numFmtId="165" fontId="9" fillId="0" borderId="2" xfId="1" applyNumberFormat="1" applyFont="1" applyBorder="1"/>
    <xf numFmtId="0" fontId="9" fillId="2" borderId="9" xfId="0" applyFont="1" applyFill="1" applyBorder="1"/>
    <xf numFmtId="0" fontId="9" fillId="0" borderId="7" xfId="0" applyFont="1" applyBorder="1"/>
    <xf numFmtId="0" fontId="9" fillId="0" borderId="11" xfId="0" applyFont="1" applyBorder="1"/>
    <xf numFmtId="0" fontId="9" fillId="0" borderId="6" xfId="0" applyFont="1" applyBorder="1"/>
    <xf numFmtId="41" fontId="9" fillId="0" borderId="5" xfId="0" applyNumberFormat="1" applyFont="1" applyBorder="1"/>
    <xf numFmtId="41" fontId="9" fillId="0" borderId="0" xfId="0" applyNumberFormat="1" applyFont="1"/>
    <xf numFmtId="41" fontId="9" fillId="0" borderId="4" xfId="0" applyNumberFormat="1" applyFont="1" applyBorder="1"/>
    <xf numFmtId="41" fontId="9" fillId="0" borderId="3" xfId="0" applyNumberFormat="1" applyFont="1" applyBorder="1"/>
    <xf numFmtId="41" fontId="9" fillId="0" borderId="10" xfId="0" applyNumberFormat="1" applyFont="1" applyBorder="1"/>
    <xf numFmtId="41" fontId="9" fillId="0" borderId="2" xfId="0" applyNumberFormat="1" applyFont="1" applyBorder="1"/>
    <xf numFmtId="0" fontId="8" fillId="0" borderId="5" xfId="0" applyFont="1" applyBorder="1"/>
    <xf numFmtId="0" fontId="8" fillId="0" borderId="0" xfId="0" applyFont="1"/>
    <xf numFmtId="0" fontId="8" fillId="0" borderId="4" xfId="0" applyFont="1" applyBorder="1"/>
    <xf numFmtId="41" fontId="13" fillId="0" borderId="0" xfId="0" applyNumberFormat="1" applyFont="1" applyAlignment="1">
      <alignment wrapText="1"/>
    </xf>
    <xf numFmtId="41" fontId="13" fillId="0" borderId="10" xfId="0" applyNumberFormat="1" applyFont="1" applyBorder="1" applyAlignment="1">
      <alignment wrapText="1"/>
    </xf>
    <xf numFmtId="167" fontId="9" fillId="0" borderId="7" xfId="0" applyNumberFormat="1" applyFont="1" applyBorder="1"/>
    <xf numFmtId="167" fontId="9" fillId="0" borderId="11" xfId="0" applyNumberFormat="1" applyFont="1" applyBorder="1"/>
    <xf numFmtId="167" fontId="9" fillId="0" borderId="6" xfId="0" applyNumberFormat="1" applyFont="1" applyBorder="1"/>
    <xf numFmtId="167" fontId="9" fillId="0" borderId="5" xfId="0" applyNumberFormat="1" applyFont="1" applyBorder="1"/>
    <xf numFmtId="167" fontId="9" fillId="0" borderId="0" xfId="0" applyNumberFormat="1" applyFont="1"/>
    <xf numFmtId="167" fontId="9" fillId="0" borderId="4" xfId="0" applyNumberFormat="1" applyFont="1" applyBorder="1"/>
    <xf numFmtId="167" fontId="8" fillId="0" borderId="5" xfId="0" applyNumberFormat="1" applyFont="1" applyBorder="1"/>
    <xf numFmtId="167" fontId="8" fillId="0" borderId="0" xfId="0" applyNumberFormat="1" applyFont="1"/>
    <xf numFmtId="167" fontId="8" fillId="0" borderId="4" xfId="0" applyNumberFormat="1" applyFont="1" applyBorder="1"/>
    <xf numFmtId="10" fontId="9" fillId="0" borderId="5" xfId="1" applyNumberFormat="1" applyFont="1" applyBorder="1"/>
    <xf numFmtId="10" fontId="9" fillId="0" borderId="0" xfId="1" applyNumberFormat="1" applyFont="1" applyBorder="1"/>
    <xf numFmtId="0" fontId="9" fillId="0" borderId="3" xfId="0" applyFont="1" applyBorder="1"/>
    <xf numFmtId="0" fontId="9" fillId="0" borderId="10" xfId="0" applyFont="1" applyBorder="1"/>
    <xf numFmtId="0" fontId="13" fillId="2" borderId="7"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7" fontId="9" fillId="0" borderId="0" xfId="0" applyNumberFormat="1" applyFont="1"/>
    <xf numFmtId="0" fontId="13" fillId="2" borderId="12" xfId="0" applyFont="1" applyFill="1" applyBorder="1" applyAlignment="1">
      <alignment vertical="top"/>
    </xf>
    <xf numFmtId="0" fontId="13" fillId="2" borderId="8" xfId="0" applyFont="1" applyFill="1" applyBorder="1" applyAlignment="1">
      <alignment vertical="top"/>
    </xf>
    <xf numFmtId="166" fontId="23" fillId="0" borderId="0" xfId="0" applyNumberFormat="1" applyFont="1"/>
    <xf numFmtId="166" fontId="23" fillId="0" borderId="4" xfId="0" applyNumberFormat="1" applyFont="1" applyBorder="1"/>
    <xf numFmtId="165" fontId="24" fillId="0" borderId="0" xfId="1" applyNumberFormat="1" applyFont="1" applyBorder="1"/>
    <xf numFmtId="165" fontId="24" fillId="0" borderId="4" xfId="1" applyNumberFormat="1" applyFont="1" applyBorder="1"/>
    <xf numFmtId="41" fontId="13" fillId="0" borderId="19" xfId="0" applyNumberFormat="1" applyFont="1" applyBorder="1" applyAlignment="1">
      <alignment horizontal="right" vertical="top"/>
    </xf>
    <xf numFmtId="0" fontId="13" fillId="2" borderId="9" xfId="0" applyFont="1" applyFill="1" applyBorder="1" applyAlignment="1">
      <alignment vertical="top"/>
    </xf>
    <xf numFmtId="165" fontId="9" fillId="0" borderId="0" xfId="0" applyNumberFormat="1" applyFont="1"/>
    <xf numFmtId="165" fontId="9" fillId="0" borderId="4" xfId="0" applyNumberFormat="1" applyFont="1" applyBorder="1"/>
    <xf numFmtId="165" fontId="9" fillId="0" borderId="19" xfId="1" applyNumberFormat="1" applyFont="1" applyBorder="1"/>
    <xf numFmtId="165" fontId="9" fillId="0" borderId="10" xfId="0" applyNumberFormat="1" applyFont="1" applyBorder="1"/>
    <xf numFmtId="165" fontId="9" fillId="0" borderId="2" xfId="0" applyNumberFormat="1" applyFont="1" applyBorder="1"/>
    <xf numFmtId="0" fontId="9" fillId="0" borderId="20" xfId="0" applyFont="1" applyBorder="1"/>
    <xf numFmtId="41" fontId="9" fillId="0" borderId="19" xfId="0" applyNumberFormat="1" applyFont="1" applyBorder="1"/>
    <xf numFmtId="41" fontId="13" fillId="0" borderId="4" xfId="0" applyNumberFormat="1" applyFont="1" applyBorder="1" applyAlignment="1">
      <alignment wrapText="1"/>
    </xf>
    <xf numFmtId="0" fontId="13" fillId="0" borderId="0" xfId="0" applyFont="1" applyAlignment="1">
      <alignment wrapText="1"/>
    </xf>
    <xf numFmtId="0" fontId="13" fillId="0" borderId="4" xfId="0" applyFont="1" applyBorder="1" applyAlignment="1">
      <alignment wrapText="1"/>
    </xf>
    <xf numFmtId="173" fontId="13" fillId="0" borderId="0" xfId="0" applyNumberFormat="1" applyFont="1" applyAlignment="1">
      <alignment wrapText="1"/>
    </xf>
    <xf numFmtId="173" fontId="13" fillId="0" borderId="4" xfId="0" applyNumberFormat="1" applyFont="1" applyBorder="1" applyAlignment="1">
      <alignment wrapText="1"/>
    </xf>
    <xf numFmtId="167" fontId="9" fillId="0" borderId="20" xfId="0" applyNumberFormat="1" applyFont="1" applyBorder="1"/>
    <xf numFmtId="166" fontId="9" fillId="0" borderId="0" xfId="0" applyNumberFormat="1" applyFont="1"/>
    <xf numFmtId="166" fontId="9" fillId="0" borderId="4" xfId="0" applyNumberFormat="1" applyFont="1" applyBorder="1"/>
    <xf numFmtId="10" fontId="9" fillId="0" borderId="3" xfId="1" applyNumberFormat="1" applyFont="1" applyBorder="1"/>
    <xf numFmtId="10" fontId="9" fillId="0" borderId="19" xfId="1" applyNumberFormat="1" applyFont="1" applyBorder="1"/>
    <xf numFmtId="10" fontId="9" fillId="0" borderId="10" xfId="0" applyNumberFormat="1" applyFont="1" applyBorder="1"/>
    <xf numFmtId="10" fontId="9" fillId="0" borderId="2" xfId="0" applyNumberFormat="1" applyFont="1" applyBorder="1"/>
    <xf numFmtId="166" fontId="23" fillId="0" borderId="5" xfId="0" applyNumberFormat="1" applyFont="1" applyBorder="1"/>
    <xf numFmtId="165" fontId="24" fillId="0" borderId="5" xfId="1" applyNumberFormat="1" applyFont="1" applyBorder="1"/>
    <xf numFmtId="165" fontId="9" fillId="0" borderId="5" xfId="0" applyNumberFormat="1" applyFont="1" applyBorder="1"/>
    <xf numFmtId="165" fontId="9" fillId="0" borderId="3" xfId="0" applyNumberFormat="1" applyFont="1" applyBorder="1"/>
    <xf numFmtId="41" fontId="13" fillId="0" borderId="5" xfId="0" applyNumberFormat="1" applyFont="1" applyBorder="1" applyAlignment="1">
      <alignment wrapText="1"/>
    </xf>
    <xf numFmtId="0" fontId="13" fillId="0" borderId="5" xfId="0" applyFont="1" applyBorder="1" applyAlignment="1">
      <alignment wrapText="1"/>
    </xf>
    <xf numFmtId="173" fontId="13" fillId="0" borderId="5" xfId="0" applyNumberFormat="1" applyFont="1" applyBorder="1" applyAlignment="1">
      <alignment wrapText="1"/>
    </xf>
    <xf numFmtId="41" fontId="13" fillId="0" borderId="3" xfId="0" applyNumberFormat="1" applyFont="1" applyBorder="1" applyAlignment="1">
      <alignment wrapText="1"/>
    </xf>
    <xf numFmtId="166" fontId="9" fillId="0" borderId="5" xfId="0" applyNumberFormat="1" applyFont="1" applyBorder="1"/>
    <xf numFmtId="10" fontId="9" fillId="0" borderId="3" xfId="0" applyNumberFormat="1" applyFont="1" applyBorder="1"/>
    <xf numFmtId="0" fontId="18" fillId="2" borderId="9" xfId="0" applyFont="1" applyFill="1" applyBorder="1"/>
    <xf numFmtId="0" fontId="7" fillId="6" borderId="1" xfId="0" applyFont="1" applyFill="1" applyBorder="1" applyAlignment="1">
      <alignment vertical="top"/>
    </xf>
    <xf numFmtId="41" fontId="7" fillId="6" borderId="5" xfId="0" applyNumberFormat="1" applyFont="1" applyFill="1" applyBorder="1" applyAlignment="1">
      <alignment horizontal="right" vertical="top"/>
    </xf>
    <xf numFmtId="41" fontId="7" fillId="6" borderId="0" xfId="0" applyNumberFormat="1" applyFont="1" applyFill="1" applyAlignment="1">
      <alignment horizontal="right" vertical="top"/>
    </xf>
    <xf numFmtId="41" fontId="7" fillId="6" borderId="4" xfId="0" applyNumberFormat="1" applyFont="1" applyFill="1" applyBorder="1" applyAlignment="1">
      <alignment horizontal="right" vertical="top"/>
    </xf>
    <xf numFmtId="0" fontId="8" fillId="6" borderId="1" xfId="0" applyFont="1" applyFill="1" applyBorder="1"/>
    <xf numFmtId="0" fontId="8" fillId="6" borderId="5" xfId="0" applyFont="1" applyFill="1" applyBorder="1"/>
    <xf numFmtId="0" fontId="8" fillId="6" borderId="0" xfId="0" applyFont="1" applyFill="1"/>
    <xf numFmtId="0" fontId="8" fillId="6" borderId="4" xfId="0" applyFont="1" applyFill="1" applyBorder="1"/>
    <xf numFmtId="41" fontId="7" fillId="6" borderId="18" xfId="0" applyNumberFormat="1" applyFont="1" applyFill="1" applyBorder="1" applyAlignment="1">
      <alignment horizontal="right" vertical="top"/>
    </xf>
    <xf numFmtId="166" fontId="8" fillId="6" borderId="0" xfId="0" applyNumberFormat="1" applyFont="1" applyFill="1"/>
    <xf numFmtId="166" fontId="8" fillId="6" borderId="4" xfId="0" applyNumberFormat="1" applyFont="1" applyFill="1" applyBorder="1"/>
    <xf numFmtId="166" fontId="8" fillId="6" borderId="7" xfId="0" applyNumberFormat="1" applyFont="1" applyFill="1" applyBorder="1"/>
    <xf numFmtId="166" fontId="8" fillId="6" borderId="11" xfId="0" applyNumberFormat="1" applyFont="1" applyFill="1" applyBorder="1"/>
    <xf numFmtId="166" fontId="8" fillId="6" borderId="6" xfId="0" applyNumberFormat="1" applyFont="1" applyFill="1" applyBorder="1"/>
    <xf numFmtId="41" fontId="8" fillId="6" borderId="4" xfId="0" applyNumberFormat="1" applyFont="1" applyFill="1" applyBorder="1"/>
    <xf numFmtId="41" fontId="8" fillId="6" borderId="0" xfId="0" applyNumberFormat="1" applyFont="1" applyFill="1"/>
    <xf numFmtId="41" fontId="8" fillId="6" borderId="5" xfId="0" applyNumberFormat="1" applyFont="1" applyFill="1" applyBorder="1"/>
    <xf numFmtId="165" fontId="24" fillId="0" borderId="0" xfId="1" applyNumberFormat="1" applyFont="1" applyFill="1"/>
    <xf numFmtId="165" fontId="30" fillId="0" borderId="7" xfId="1" applyNumberFormat="1" applyFont="1" applyBorder="1"/>
    <xf numFmtId="165" fontId="30" fillId="0" borderId="11" xfId="1" applyNumberFormat="1" applyFont="1" applyBorder="1"/>
    <xf numFmtId="165" fontId="30" fillId="0" borderId="6" xfId="1" applyNumberFormat="1" applyFont="1" applyBorder="1"/>
    <xf numFmtId="165" fontId="30" fillId="0" borderId="20" xfId="1" applyNumberFormat="1" applyFont="1" applyBorder="1"/>
    <xf numFmtId="165" fontId="8" fillId="0" borderId="11" xfId="0" applyNumberFormat="1" applyFont="1" applyBorder="1"/>
    <xf numFmtId="0" fontId="9" fillId="4" borderId="17" xfId="0" applyFont="1" applyFill="1" applyBorder="1"/>
    <xf numFmtId="0" fontId="9" fillId="4" borderId="21" xfId="0" applyFont="1" applyFill="1" applyBorder="1"/>
    <xf numFmtId="0" fontId="20" fillId="4" borderId="0" xfId="0" applyFont="1" applyFill="1" applyAlignment="1">
      <alignment horizontal="center"/>
    </xf>
    <xf numFmtId="0" fontId="21" fillId="4" borderId="0" xfId="0" applyFont="1" applyFill="1" applyAlignment="1">
      <alignment horizontal="center"/>
    </xf>
    <xf numFmtId="174" fontId="9" fillId="4" borderId="0" xfId="0" applyNumberFormat="1" applyFont="1" applyFill="1" applyAlignment="1">
      <alignment horizontal="center"/>
    </xf>
    <xf numFmtId="174" fontId="8" fillId="4" borderId="0" xfId="0" applyNumberFormat="1" applyFont="1" applyFill="1" applyAlignment="1">
      <alignment horizontal="center"/>
    </xf>
    <xf numFmtId="0" fontId="8" fillId="4" borderId="0" xfId="0" applyFont="1" applyFill="1" applyAlignment="1">
      <alignment horizontal="center"/>
    </xf>
    <xf numFmtId="1" fontId="21" fillId="4" borderId="0" xfId="0" applyNumberFormat="1" applyFont="1" applyFill="1" applyAlignment="1">
      <alignment horizontal="center"/>
    </xf>
    <xf numFmtId="0" fontId="21" fillId="4" borderId="0" xfId="0" applyFont="1" applyFill="1"/>
    <xf numFmtId="169" fontId="8" fillId="4" borderId="0" xfId="0" applyNumberFormat="1" applyFont="1" applyFill="1" applyAlignment="1">
      <alignment horizontal="center"/>
    </xf>
    <xf numFmtId="0" fontId="24" fillId="4" borderId="0" xfId="0" applyFont="1" applyFill="1" applyAlignment="1">
      <alignment horizontal="left" indent="1"/>
    </xf>
    <xf numFmtId="10" fontId="8" fillId="4" borderId="0" xfId="0" applyNumberFormat="1" applyFont="1" applyFill="1" applyAlignment="1">
      <alignment horizontal="center"/>
    </xf>
    <xf numFmtId="10" fontId="24" fillId="4" borderId="0" xfId="0" applyNumberFormat="1" applyFont="1" applyFill="1"/>
    <xf numFmtId="9" fontId="9" fillId="4" borderId="0" xfId="0" applyNumberFormat="1" applyFont="1" applyFill="1"/>
    <xf numFmtId="0" fontId="20" fillId="4" borderId="0" xfId="0" applyFont="1" applyFill="1"/>
    <xf numFmtId="2" fontId="9" fillId="4" borderId="0" xfId="0" applyNumberFormat="1" applyFont="1" applyFill="1"/>
    <xf numFmtId="11" fontId="17" fillId="4" borderId="0" xfId="0" applyNumberFormat="1" applyFont="1" applyFill="1" applyAlignment="1">
      <alignment horizontal="center"/>
    </xf>
    <xf numFmtId="0" fontId="31" fillId="0" borderId="0" xfId="0" applyFont="1" applyAlignment="1">
      <alignment horizontal="center"/>
    </xf>
    <xf numFmtId="0" fontId="32" fillId="4" borderId="0" xfId="0" applyFont="1" applyFill="1"/>
    <xf numFmtId="43" fontId="32" fillId="4" borderId="0" xfId="2" applyFont="1" applyFill="1" applyBorder="1" applyAlignment="1">
      <alignment horizontal="right"/>
    </xf>
    <xf numFmtId="169" fontId="13" fillId="4" borderId="0" xfId="3" applyNumberFormat="1" applyFont="1" applyFill="1" applyBorder="1" applyAlignment="1">
      <alignment horizontal="right"/>
    </xf>
    <xf numFmtId="9" fontId="32" fillId="4" borderId="0" xfId="1" applyFont="1" applyFill="1" applyBorder="1" applyAlignment="1">
      <alignment horizontal="right"/>
    </xf>
    <xf numFmtId="44" fontId="32" fillId="4" borderId="0" xfId="3" applyFont="1" applyFill="1" applyBorder="1" applyAlignment="1">
      <alignment horizontal="right"/>
    </xf>
    <xf numFmtId="169" fontId="9" fillId="0" borderId="0" xfId="0" applyNumberFormat="1" applyFont="1"/>
    <xf numFmtId="176" fontId="32" fillId="4" borderId="0" xfId="0" applyNumberFormat="1" applyFont="1" applyFill="1" applyAlignment="1">
      <alignment horizontal="right"/>
    </xf>
    <xf numFmtId="169" fontId="9" fillId="4" borderId="0" xfId="3" applyNumberFormat="1" applyFont="1" applyFill="1" applyBorder="1" applyAlignment="1">
      <alignment horizontal="right"/>
    </xf>
    <xf numFmtId="10" fontId="32" fillId="4" borderId="0" xfId="1" applyNumberFormat="1" applyFont="1" applyFill="1" applyBorder="1" applyAlignment="1">
      <alignment horizontal="right"/>
    </xf>
    <xf numFmtId="10" fontId="9" fillId="4" borderId="0" xfId="1" applyNumberFormat="1" applyFont="1" applyFill="1" applyBorder="1" applyAlignment="1">
      <alignment horizontal="right"/>
    </xf>
    <xf numFmtId="0" fontId="32" fillId="0" borderId="0" xfId="0" applyFont="1"/>
    <xf numFmtId="0" fontId="9" fillId="4" borderId="25" xfId="0" applyFont="1" applyFill="1" applyBorder="1"/>
    <xf numFmtId="174" fontId="9" fillId="4" borderId="0" xfId="0" applyNumberFormat="1" applyFont="1" applyFill="1"/>
    <xf numFmtId="0" fontId="9" fillId="4" borderId="0" xfId="0" applyFont="1" applyFill="1" applyAlignment="1">
      <alignment horizontal="left" indent="1"/>
    </xf>
    <xf numFmtId="0" fontId="9" fillId="4" borderId="2" xfId="0" applyFont="1" applyFill="1" applyBorder="1"/>
    <xf numFmtId="0" fontId="9" fillId="4" borderId="10" xfId="0" applyFont="1" applyFill="1" applyBorder="1"/>
    <xf numFmtId="0" fontId="24" fillId="4" borderId="3" xfId="0" applyFont="1" applyFill="1" applyBorder="1"/>
    <xf numFmtId="169" fontId="8" fillId="4" borderId="6" xfId="0" applyNumberFormat="1" applyFont="1" applyFill="1" applyBorder="1"/>
    <xf numFmtId="0" fontId="9" fillId="4" borderId="11" xfId="0" applyFont="1" applyFill="1" applyBorder="1"/>
    <xf numFmtId="0" fontId="18" fillId="2" borderId="0" xfId="0" applyFont="1" applyFill="1"/>
    <xf numFmtId="0" fontId="18" fillId="2" borderId="7" xfId="0" applyFont="1" applyFill="1" applyBorder="1"/>
    <xf numFmtId="0" fontId="15" fillId="2" borderId="11" xfId="0" applyFont="1" applyFill="1" applyBorder="1"/>
    <xf numFmtId="0" fontId="15" fillId="2" borderId="6" xfId="0" applyFont="1" applyFill="1" applyBorder="1"/>
    <xf numFmtId="0" fontId="17" fillId="2" borderId="0" xfId="0" applyFont="1" applyFill="1"/>
    <xf numFmtId="0" fontId="17" fillId="2" borderId="0" xfId="0" applyFont="1" applyFill="1" applyAlignment="1">
      <alignment horizontal="fill"/>
    </xf>
    <xf numFmtId="0" fontId="16" fillId="2" borderId="0" xfId="0" applyFont="1" applyFill="1" applyAlignment="1">
      <alignment horizontal="fill"/>
    </xf>
    <xf numFmtId="0" fontId="16" fillId="2" borderId="0" xfId="0" applyFont="1" applyFill="1"/>
    <xf numFmtId="0" fontId="17" fillId="2" borderId="0" xfId="0" applyFont="1" applyFill="1" applyAlignment="1">
      <alignment horizontal="center"/>
    </xf>
    <xf numFmtId="43" fontId="9" fillId="4" borderId="27" xfId="0" applyNumberFormat="1" applyFont="1" applyFill="1" applyBorder="1"/>
    <xf numFmtId="0" fontId="9" fillId="4" borderId="0" xfId="0" applyFont="1" applyFill="1" applyAlignment="1">
      <alignment wrapText="1"/>
    </xf>
    <xf numFmtId="0" fontId="9" fillId="4" borderId="10" xfId="0" applyFont="1" applyFill="1" applyBorder="1" applyAlignment="1">
      <alignment wrapText="1"/>
    </xf>
    <xf numFmtId="0" fontId="0" fillId="0" borderId="0" xfId="0" applyAlignment="1">
      <alignment wrapText="1"/>
    </xf>
    <xf numFmtId="0" fontId="8" fillId="4" borderId="0" xfId="0" applyFont="1" applyFill="1" applyAlignment="1">
      <alignment wrapText="1"/>
    </xf>
    <xf numFmtId="169" fontId="9" fillId="4" borderId="0" xfId="0" applyNumberFormat="1" applyFont="1" applyFill="1" applyAlignment="1">
      <alignment horizontal="center" wrapText="1"/>
    </xf>
    <xf numFmtId="41" fontId="9" fillId="4" borderId="0" xfId="0" applyNumberFormat="1" applyFont="1" applyFill="1" applyAlignment="1">
      <alignment wrapText="1"/>
    </xf>
    <xf numFmtId="0" fontId="8" fillId="8" borderId="16" xfId="0" applyFont="1" applyFill="1" applyBorder="1" applyAlignment="1">
      <alignment wrapText="1"/>
    </xf>
    <xf numFmtId="41" fontId="9" fillId="4" borderId="27" xfId="0" applyNumberFormat="1" applyFont="1" applyFill="1" applyBorder="1" applyAlignment="1">
      <alignment wrapText="1"/>
    </xf>
    <xf numFmtId="0" fontId="9" fillId="4" borderId="4" xfId="0" applyFont="1" applyFill="1" applyBorder="1" applyAlignment="1">
      <alignment wrapText="1"/>
    </xf>
    <xf numFmtId="0" fontId="9" fillId="4" borderId="12" xfId="0" applyFont="1" applyFill="1" applyBorder="1" applyAlignment="1">
      <alignment wrapText="1"/>
    </xf>
    <xf numFmtId="0" fontId="9" fillId="4" borderId="11" xfId="0" applyFont="1" applyFill="1" applyBorder="1" applyAlignment="1">
      <alignment wrapText="1"/>
    </xf>
    <xf numFmtId="0" fontId="36" fillId="0" borderId="1" xfId="0" applyFont="1" applyBorder="1" applyAlignment="1">
      <alignment wrapText="1"/>
    </xf>
    <xf numFmtId="0" fontId="9" fillId="4" borderId="14" xfId="0" applyFont="1" applyFill="1" applyBorder="1" applyAlignment="1">
      <alignment wrapText="1"/>
    </xf>
    <xf numFmtId="0" fontId="34" fillId="5" borderId="8" xfId="0" applyFont="1" applyFill="1" applyBorder="1" applyAlignment="1">
      <alignment horizontal="center" vertical="center" wrapText="1"/>
    </xf>
    <xf numFmtId="0" fontId="9" fillId="0" borderId="14" xfId="0" applyFont="1" applyBorder="1" applyAlignment="1">
      <alignment wrapText="1"/>
    </xf>
    <xf numFmtId="0" fontId="34" fillId="5" borderId="9" xfId="0" applyFont="1" applyFill="1" applyBorder="1" applyAlignment="1">
      <alignment horizontal="centerContinuous" wrapText="1"/>
    </xf>
    <xf numFmtId="0" fontId="13" fillId="5" borderId="12" xfId="0" applyFont="1" applyFill="1" applyBorder="1" applyAlignment="1">
      <alignment horizontal="centerContinuous" wrapText="1"/>
    </xf>
    <xf numFmtId="0" fontId="13" fillId="5" borderId="15" xfId="0" applyFont="1" applyFill="1" applyBorder="1" applyAlignment="1">
      <alignment horizontal="centerContinuous" wrapText="1"/>
    </xf>
    <xf numFmtId="0" fontId="13" fillId="5" borderId="9" xfId="0" applyFont="1" applyFill="1" applyBorder="1" applyAlignment="1">
      <alignment wrapText="1"/>
    </xf>
    <xf numFmtId="0" fontId="34" fillId="5" borderId="10" xfId="0" applyFont="1" applyFill="1" applyBorder="1" applyAlignment="1">
      <alignment horizontal="centerContinuous" wrapText="1"/>
    </xf>
    <xf numFmtId="0" fontId="13" fillId="5" borderId="10" xfId="0" applyFont="1" applyFill="1" applyBorder="1" applyAlignment="1">
      <alignment horizontal="centerContinuous" wrapText="1"/>
    </xf>
    <xf numFmtId="0" fontId="13" fillId="5" borderId="2" xfId="0" applyFont="1" applyFill="1" applyBorder="1" applyAlignment="1">
      <alignment horizontal="centerContinuous" wrapText="1"/>
    </xf>
    <xf numFmtId="0" fontId="9" fillId="4" borderId="13" xfId="0" applyFont="1" applyFill="1" applyBorder="1" applyAlignment="1">
      <alignment wrapText="1"/>
    </xf>
    <xf numFmtId="0" fontId="9" fillId="4" borderId="2" xfId="0" applyFont="1" applyFill="1" applyBorder="1" applyAlignment="1">
      <alignment wrapText="1"/>
    </xf>
    <xf numFmtId="0" fontId="9" fillId="4" borderId="1" xfId="0" applyFont="1" applyFill="1" applyBorder="1" applyAlignment="1">
      <alignment wrapText="1"/>
    </xf>
    <xf numFmtId="0" fontId="9" fillId="5" borderId="1" xfId="0" applyFont="1" applyFill="1" applyBorder="1" applyAlignment="1">
      <alignment wrapText="1"/>
    </xf>
    <xf numFmtId="0" fontId="25" fillId="4" borderId="0" xfId="0" applyFont="1" applyFill="1" applyAlignment="1">
      <alignment wrapText="1"/>
    </xf>
    <xf numFmtId="0" fontId="25" fillId="4" borderId="0" xfId="0" applyFont="1" applyFill="1" applyAlignment="1">
      <alignment horizontal="center" wrapText="1"/>
    </xf>
    <xf numFmtId="0" fontId="8" fillId="0" borderId="13" xfId="0" applyFont="1" applyBorder="1" applyAlignment="1">
      <alignment wrapText="1"/>
    </xf>
    <xf numFmtId="0" fontId="9" fillId="5" borderId="13" xfId="0" applyFont="1" applyFill="1" applyBorder="1" applyAlignment="1">
      <alignment wrapText="1"/>
    </xf>
    <xf numFmtId="0" fontId="9" fillId="4" borderId="3" xfId="0" applyFont="1" applyFill="1" applyBorder="1" applyAlignment="1">
      <alignment wrapText="1"/>
    </xf>
    <xf numFmtId="0" fontId="8" fillId="0" borderId="1" xfId="0" applyFont="1" applyBorder="1" applyAlignment="1">
      <alignment wrapText="1"/>
    </xf>
    <xf numFmtId="0" fontId="37" fillId="5" borderId="1" xfId="0" applyFont="1" applyFill="1" applyBorder="1" applyAlignment="1">
      <alignment horizontal="center" vertical="center" wrapText="1"/>
    </xf>
    <xf numFmtId="0" fontId="7" fillId="4" borderId="0" xfId="0" applyFont="1" applyFill="1" applyAlignment="1">
      <alignment horizontal="center" vertical="top" wrapText="1"/>
    </xf>
    <xf numFmtId="0" fontId="37" fillId="4" borderId="0" xfId="0" applyFont="1" applyFill="1" applyAlignment="1">
      <alignment horizontal="center" vertical="center" wrapText="1"/>
    </xf>
    <xf numFmtId="0" fontId="7" fillId="5" borderId="1" xfId="0" applyFont="1" applyFill="1" applyBorder="1" applyAlignment="1">
      <alignment horizontal="center" wrapText="1"/>
    </xf>
    <xf numFmtId="0" fontId="13" fillId="4" borderId="0" xfId="0" applyFont="1" applyFill="1" applyAlignment="1">
      <alignment horizontal="center" wrapText="1"/>
    </xf>
    <xf numFmtId="177" fontId="8" fillId="5" borderId="1" xfId="0" applyNumberFormat="1" applyFont="1" applyFill="1" applyBorder="1" applyAlignment="1">
      <alignment horizontal="center" wrapText="1"/>
    </xf>
    <xf numFmtId="177" fontId="9" fillId="4" borderId="0" xfId="0" applyNumberFormat="1" applyFont="1" applyFill="1" applyAlignment="1">
      <alignment horizontal="center" wrapText="1"/>
    </xf>
    <xf numFmtId="169" fontId="8" fillId="5" borderId="1" xfId="0" applyNumberFormat="1" applyFont="1" applyFill="1" applyBorder="1" applyAlignment="1">
      <alignment horizontal="center" wrapText="1"/>
    </xf>
    <xf numFmtId="0" fontId="8" fillId="5" borderId="13" xfId="0" applyFont="1" applyFill="1" applyBorder="1" applyAlignment="1">
      <alignment wrapText="1"/>
    </xf>
    <xf numFmtId="167" fontId="9" fillId="4" borderId="0" xfId="0" applyNumberFormat="1" applyFont="1" applyFill="1" applyAlignment="1">
      <alignment horizontal="center" wrapText="1"/>
    </xf>
    <xf numFmtId="167" fontId="8" fillId="5" borderId="1" xfId="0" applyNumberFormat="1" applyFont="1" applyFill="1" applyBorder="1" applyAlignment="1">
      <alignment horizontal="center" wrapText="1"/>
    </xf>
    <xf numFmtId="167" fontId="38" fillId="4" borderId="11" xfId="0" applyNumberFormat="1" applyFont="1" applyFill="1" applyBorder="1" applyAlignment="1">
      <alignment horizontal="center" wrapText="1"/>
    </xf>
    <xf numFmtId="167" fontId="7" fillId="4" borderId="11" xfId="0" applyNumberFormat="1" applyFont="1" applyFill="1" applyBorder="1" applyAlignment="1">
      <alignment horizontal="center" wrapText="1"/>
    </xf>
    <xf numFmtId="167" fontId="39" fillId="4" borderId="6" xfId="0" applyNumberFormat="1" applyFont="1" applyFill="1" applyBorder="1" applyAlignment="1">
      <alignment horizontal="center" wrapText="1"/>
    </xf>
    <xf numFmtId="167" fontId="39" fillId="4" borderId="4" xfId="0" applyNumberFormat="1" applyFont="1" applyFill="1" applyBorder="1" applyAlignment="1">
      <alignment horizontal="center" wrapText="1"/>
    </xf>
    <xf numFmtId="165" fontId="8" fillId="5" borderId="1" xfId="1" applyNumberFormat="1" applyFont="1" applyFill="1" applyBorder="1" applyAlignment="1">
      <alignment horizontal="center" wrapText="1"/>
    </xf>
    <xf numFmtId="165" fontId="9" fillId="4" borderId="0" xfId="1" applyNumberFormat="1" applyFont="1" applyFill="1" applyAlignment="1">
      <alignment horizontal="center" wrapText="1"/>
    </xf>
    <xf numFmtId="167" fontId="9" fillId="4" borderId="4" xfId="0" applyNumberFormat="1" applyFont="1" applyFill="1" applyBorder="1" applyAlignment="1">
      <alignment horizontal="center" wrapText="1"/>
    </xf>
    <xf numFmtId="167" fontId="8" fillId="5" borderId="4" xfId="0" applyNumberFormat="1" applyFont="1" applyFill="1" applyBorder="1" applyAlignment="1">
      <alignment horizontal="center" wrapText="1"/>
    </xf>
    <xf numFmtId="167" fontId="15" fillId="4" borderId="0" xfId="0" applyNumberFormat="1" applyFont="1" applyFill="1" applyAlignment="1">
      <alignment horizontal="center" wrapText="1"/>
    </xf>
    <xf numFmtId="165" fontId="9" fillId="4" borderId="0" xfId="1" applyNumberFormat="1" applyFont="1" applyFill="1" applyBorder="1" applyAlignment="1">
      <alignment horizontal="center" wrapText="1"/>
    </xf>
    <xf numFmtId="165" fontId="38" fillId="4" borderId="0" xfId="0" applyNumberFormat="1" applyFont="1" applyFill="1" applyAlignment="1">
      <alignment horizontal="center" wrapText="1"/>
    </xf>
    <xf numFmtId="165" fontId="7" fillId="4" borderId="0" xfId="0" applyNumberFormat="1" applyFont="1" applyFill="1" applyAlignment="1">
      <alignment horizontal="center" wrapText="1"/>
    </xf>
    <xf numFmtId="165" fontId="39" fillId="4" borderId="4" xfId="0" applyNumberFormat="1" applyFont="1" applyFill="1" applyBorder="1" applyAlignment="1">
      <alignment horizontal="center" wrapText="1"/>
    </xf>
    <xf numFmtId="165" fontId="9" fillId="4" borderId="0" xfId="0" applyNumberFormat="1" applyFont="1" applyFill="1" applyAlignment="1">
      <alignment horizontal="center" wrapText="1"/>
    </xf>
    <xf numFmtId="165" fontId="9" fillId="4" borderId="4" xfId="0" applyNumberFormat="1" applyFont="1" applyFill="1" applyBorder="1" applyAlignment="1">
      <alignment horizontal="center" wrapText="1"/>
    </xf>
    <xf numFmtId="165" fontId="8" fillId="5" borderId="13" xfId="1" applyNumberFormat="1" applyFont="1" applyFill="1" applyBorder="1" applyAlignment="1">
      <alignment horizontal="center" wrapText="1"/>
    </xf>
    <xf numFmtId="165" fontId="9" fillId="4" borderId="3" xfId="1" applyNumberFormat="1" applyFont="1" applyFill="1" applyBorder="1" applyAlignment="1">
      <alignment horizontal="center" wrapText="1"/>
    </xf>
    <xf numFmtId="165" fontId="9" fillId="4" borderId="10" xfId="1" applyNumberFormat="1" applyFont="1" applyFill="1" applyBorder="1" applyAlignment="1">
      <alignment horizontal="center" wrapText="1"/>
    </xf>
    <xf numFmtId="165" fontId="9" fillId="4" borderId="10" xfId="0" applyNumberFormat="1" applyFont="1" applyFill="1" applyBorder="1" applyAlignment="1">
      <alignment horizontal="center" wrapText="1"/>
    </xf>
    <xf numFmtId="165" fontId="9" fillId="4" borderId="2" xfId="0" applyNumberFormat="1" applyFont="1" applyFill="1" applyBorder="1" applyAlignment="1">
      <alignment horizontal="center" wrapText="1"/>
    </xf>
    <xf numFmtId="167" fontId="8" fillId="5" borderId="1" xfId="1" applyNumberFormat="1" applyFont="1" applyFill="1" applyBorder="1" applyAlignment="1">
      <alignment horizontal="center" wrapText="1"/>
    </xf>
    <xf numFmtId="167" fontId="9" fillId="4" borderId="0" xfId="1" applyNumberFormat="1" applyFont="1" applyFill="1" applyBorder="1" applyAlignment="1">
      <alignment horizontal="center" wrapText="1"/>
    </xf>
    <xf numFmtId="0" fontId="9" fillId="4" borderId="28" xfId="0" applyFont="1" applyFill="1" applyBorder="1" applyAlignment="1">
      <alignment wrapText="1"/>
    </xf>
    <xf numFmtId="0" fontId="9" fillId="4" borderId="16" xfId="0" applyFont="1" applyFill="1" applyBorder="1" applyAlignment="1">
      <alignment wrapText="1"/>
    </xf>
    <xf numFmtId="0" fontId="13" fillId="5" borderId="28" xfId="0" applyFont="1" applyFill="1" applyBorder="1" applyAlignment="1">
      <alignment wrapText="1"/>
    </xf>
    <xf numFmtId="0" fontId="13" fillId="5" borderId="16" xfId="0" applyFont="1" applyFill="1" applyBorder="1" applyAlignment="1">
      <alignment wrapText="1"/>
    </xf>
    <xf numFmtId="0" fontId="9" fillId="0" borderId="0" xfId="0" applyFont="1" applyAlignment="1">
      <alignment wrapText="1"/>
    </xf>
    <xf numFmtId="0" fontId="0" fillId="0" borderId="10" xfId="0" applyBorder="1" applyAlignment="1">
      <alignment wrapText="1"/>
    </xf>
    <xf numFmtId="0" fontId="8" fillId="5" borderId="17" xfId="0" applyFont="1" applyFill="1" applyBorder="1" applyAlignment="1">
      <alignment wrapText="1"/>
    </xf>
    <xf numFmtId="0" fontId="9" fillId="5" borderId="17" xfId="0" applyFont="1" applyFill="1" applyBorder="1" applyAlignment="1">
      <alignment wrapText="1"/>
    </xf>
    <xf numFmtId="0" fontId="9" fillId="5" borderId="11" xfId="0" applyFont="1" applyFill="1" applyBorder="1" applyAlignment="1">
      <alignment wrapText="1"/>
    </xf>
    <xf numFmtId="0" fontId="9" fillId="5" borderId="32" xfId="0" applyFont="1" applyFill="1" applyBorder="1" applyAlignment="1">
      <alignment wrapText="1"/>
    </xf>
    <xf numFmtId="0" fontId="9" fillId="5" borderId="33" xfId="0" applyFont="1" applyFill="1" applyBorder="1" applyAlignment="1">
      <alignment wrapText="1"/>
    </xf>
    <xf numFmtId="0" fontId="13" fillId="0" borderId="28" xfId="0" applyFont="1" applyBorder="1" applyAlignment="1">
      <alignment wrapText="1"/>
    </xf>
    <xf numFmtId="0" fontId="13" fillId="0" borderId="16" xfId="0" applyFont="1" applyBorder="1" applyAlignment="1">
      <alignment wrapText="1"/>
    </xf>
    <xf numFmtId="0" fontId="9" fillId="0" borderId="0" xfId="0" applyFont="1" applyAlignment="1">
      <alignment horizontal="left" wrapText="1"/>
    </xf>
    <xf numFmtId="41" fontId="35" fillId="10" borderId="29" xfId="0" applyNumberFormat="1" applyFont="1" applyFill="1" applyBorder="1" applyAlignment="1">
      <alignment horizontal="right" wrapText="1"/>
    </xf>
    <xf numFmtId="41" fontId="35" fillId="0" borderId="0" xfId="0" applyNumberFormat="1" applyFont="1"/>
    <xf numFmtId="41" fontId="35" fillId="10" borderId="27" xfId="0" applyNumberFormat="1" applyFont="1" applyFill="1" applyBorder="1" applyAlignment="1">
      <alignment wrapText="1"/>
    </xf>
    <xf numFmtId="41" fontId="8" fillId="8" borderId="35" xfId="0" applyNumberFormat="1" applyFont="1" applyFill="1" applyBorder="1" applyAlignment="1">
      <alignment wrapText="1"/>
    </xf>
    <xf numFmtId="41" fontId="22" fillId="10" borderId="30" xfId="0" applyNumberFormat="1" applyFont="1" applyFill="1" applyBorder="1" applyAlignment="1">
      <alignment wrapText="1"/>
    </xf>
    <xf numFmtId="41" fontId="22" fillId="0" borderId="0" xfId="0" applyNumberFormat="1" applyFont="1" applyAlignment="1">
      <alignment wrapText="1"/>
    </xf>
    <xf numFmtId="41" fontId="22" fillId="0" borderId="29" xfId="0" applyNumberFormat="1" applyFont="1" applyBorder="1"/>
    <xf numFmtId="41" fontId="35" fillId="10" borderId="29" xfId="0" applyNumberFormat="1" applyFont="1" applyFill="1" applyBorder="1" applyAlignment="1">
      <alignment wrapText="1"/>
    </xf>
    <xf numFmtId="41" fontId="9" fillId="4" borderId="16" xfId="0" applyNumberFormat="1" applyFont="1" applyFill="1" applyBorder="1" applyAlignment="1">
      <alignment wrapText="1"/>
    </xf>
    <xf numFmtId="41" fontId="9" fillId="4" borderId="17" xfId="0" applyNumberFormat="1" applyFont="1" applyFill="1" applyBorder="1" applyAlignment="1">
      <alignment wrapText="1"/>
    </xf>
    <xf numFmtId="41" fontId="9" fillId="4" borderId="28" xfId="0" applyNumberFormat="1" applyFont="1" applyFill="1" applyBorder="1" applyAlignment="1">
      <alignment wrapText="1"/>
    </xf>
    <xf numFmtId="41" fontId="9" fillId="4" borderId="34" xfId="0" applyNumberFormat="1" applyFont="1" applyFill="1" applyBorder="1" applyAlignment="1">
      <alignment wrapText="1"/>
    </xf>
    <xf numFmtId="41" fontId="9" fillId="4" borderId="30" xfId="0" applyNumberFormat="1" applyFont="1" applyFill="1" applyBorder="1" applyAlignment="1">
      <alignment wrapText="1"/>
    </xf>
    <xf numFmtId="44" fontId="9" fillId="4" borderId="27" xfId="3" applyFont="1" applyFill="1" applyBorder="1" applyAlignment="1">
      <alignment wrapText="1"/>
    </xf>
    <xf numFmtId="0" fontId="0" fillId="0" borderId="4" xfId="0" applyBorder="1" applyAlignment="1">
      <alignment wrapText="1"/>
    </xf>
    <xf numFmtId="41" fontId="9" fillId="4" borderId="29" xfId="0" applyNumberFormat="1" applyFont="1" applyFill="1" applyBorder="1" applyAlignment="1">
      <alignment wrapText="1"/>
    </xf>
    <xf numFmtId="41" fontId="9" fillId="4" borderId="26" xfId="0" applyNumberFormat="1" applyFont="1" applyFill="1" applyBorder="1" applyAlignment="1">
      <alignment wrapText="1"/>
    </xf>
    <xf numFmtId="41" fontId="9" fillId="4" borderId="22" xfId="0" applyNumberFormat="1" applyFont="1" applyFill="1" applyBorder="1" applyAlignment="1">
      <alignment wrapText="1"/>
    </xf>
    <xf numFmtId="41" fontId="9" fillId="4" borderId="36" xfId="0" applyNumberFormat="1" applyFont="1" applyFill="1" applyBorder="1" applyAlignment="1">
      <alignment wrapText="1"/>
    </xf>
    <xf numFmtId="169" fontId="0" fillId="0" borderId="0" xfId="0" applyNumberFormat="1" applyAlignment="1">
      <alignment wrapText="1"/>
    </xf>
    <xf numFmtId="0" fontId="17" fillId="2" borderId="22" xfId="0" applyFont="1" applyFill="1" applyBorder="1" applyAlignment="1">
      <alignment vertical="center" wrapText="1"/>
    </xf>
    <xf numFmtId="0" fontId="9" fillId="2" borderId="22" xfId="0" applyFont="1" applyFill="1" applyBorder="1" applyAlignment="1">
      <alignment wrapText="1"/>
    </xf>
    <xf numFmtId="0" fontId="9" fillId="2" borderId="31" xfId="0" applyFont="1" applyFill="1" applyBorder="1" applyAlignment="1">
      <alignment wrapText="1"/>
    </xf>
    <xf numFmtId="7" fontId="9" fillId="4" borderId="27" xfId="3" applyNumberFormat="1" applyFont="1" applyFill="1" applyBorder="1" applyAlignment="1">
      <alignment wrapText="1"/>
    </xf>
    <xf numFmtId="0" fontId="9" fillId="2" borderId="11" xfId="0" applyFont="1" applyFill="1" applyBorder="1"/>
    <xf numFmtId="169" fontId="18" fillId="2" borderId="6" xfId="0" applyNumberFormat="1" applyFont="1" applyFill="1" applyBorder="1"/>
    <xf numFmtId="0" fontId="18" fillId="2" borderId="3" xfId="0" applyFont="1" applyFill="1" applyBorder="1"/>
    <xf numFmtId="0" fontId="9" fillId="2" borderId="10" xfId="0" applyFont="1" applyFill="1" applyBorder="1"/>
    <xf numFmtId="10" fontId="15" fillId="2" borderId="2" xfId="0" applyNumberFormat="1" applyFont="1" applyFill="1" applyBorder="1"/>
    <xf numFmtId="0" fontId="20" fillId="4" borderId="4" xfId="0" applyFont="1" applyFill="1" applyBorder="1" applyAlignment="1">
      <alignment horizontal="center"/>
    </xf>
    <xf numFmtId="41" fontId="0" fillId="0" borderId="0" xfId="0" applyNumberFormat="1" applyAlignment="1">
      <alignment wrapText="1"/>
    </xf>
    <xf numFmtId="169" fontId="9" fillId="4" borderId="28" xfId="3" applyNumberFormat="1" applyFont="1" applyFill="1" applyBorder="1" applyAlignment="1">
      <alignment wrapText="1"/>
    </xf>
    <xf numFmtId="0" fontId="8" fillId="0" borderId="37" xfId="0" applyFont="1" applyBorder="1" applyAlignment="1">
      <alignment wrapText="1"/>
    </xf>
    <xf numFmtId="41" fontId="8" fillId="0" borderId="39" xfId="0" applyNumberFormat="1" applyFont="1" applyBorder="1" applyAlignment="1">
      <alignment wrapText="1"/>
    </xf>
    <xf numFmtId="41" fontId="8" fillId="0" borderId="41" xfId="0" applyNumberFormat="1" applyFont="1" applyBorder="1" applyAlignment="1">
      <alignment wrapText="1"/>
    </xf>
    <xf numFmtId="41" fontId="8" fillId="0" borderId="42" xfId="0" applyNumberFormat="1" applyFont="1" applyBorder="1" applyAlignment="1">
      <alignment wrapText="1"/>
    </xf>
    <xf numFmtId="0" fontId="8" fillId="0" borderId="39" xfId="0" applyFont="1" applyBorder="1" applyAlignment="1">
      <alignment wrapText="1"/>
    </xf>
    <xf numFmtId="41" fontId="35" fillId="0" borderId="27" xfId="0" applyNumberFormat="1" applyFont="1" applyBorder="1" applyAlignment="1">
      <alignment wrapText="1"/>
    </xf>
    <xf numFmtId="41" fontId="35" fillId="0" borderId="27" xfId="0" applyNumberFormat="1" applyFont="1" applyBorder="1" applyAlignment="1">
      <alignment horizontal="right" wrapText="1"/>
    </xf>
    <xf numFmtId="169" fontId="9" fillId="4" borderId="27" xfId="3" applyNumberFormat="1" applyFont="1" applyFill="1" applyBorder="1" applyAlignment="1">
      <alignment wrapText="1"/>
    </xf>
    <xf numFmtId="169" fontId="9" fillId="4" borderId="16" xfId="3" applyNumberFormat="1" applyFont="1" applyFill="1" applyBorder="1" applyAlignment="1">
      <alignment wrapText="1"/>
    </xf>
    <xf numFmtId="169" fontId="9" fillId="4" borderId="34" xfId="3" applyNumberFormat="1" applyFont="1" applyFill="1" applyBorder="1" applyAlignment="1">
      <alignment wrapText="1"/>
    </xf>
    <xf numFmtId="169" fontId="22" fillId="10" borderId="27" xfId="0" applyNumberFormat="1" applyFont="1" applyFill="1" applyBorder="1" applyAlignment="1">
      <alignment horizontal="right" wrapText="1"/>
    </xf>
    <xf numFmtId="169" fontId="22" fillId="0" borderId="0" xfId="0" applyNumberFormat="1" applyFont="1" applyAlignment="1">
      <alignment horizontal="right" wrapText="1"/>
    </xf>
    <xf numFmtId="169" fontId="22" fillId="10" borderId="16" xfId="0" applyNumberFormat="1" applyFont="1" applyFill="1" applyBorder="1" applyAlignment="1">
      <alignment horizontal="right" wrapText="1"/>
    </xf>
    <xf numFmtId="169" fontId="22" fillId="10" borderId="34" xfId="0" applyNumberFormat="1" applyFont="1" applyFill="1" applyBorder="1" applyAlignment="1">
      <alignment horizontal="right" wrapText="1"/>
    </xf>
    <xf numFmtId="0" fontId="9" fillId="4" borderId="37" xfId="0" applyFont="1" applyFill="1" applyBorder="1" applyAlignment="1">
      <alignment wrapText="1"/>
    </xf>
    <xf numFmtId="0" fontId="9" fillId="4" borderId="38" xfId="0" applyFont="1" applyFill="1" applyBorder="1" applyAlignment="1">
      <alignment wrapText="1"/>
    </xf>
    <xf numFmtId="41" fontId="22" fillId="4" borderId="40" xfId="0" applyNumberFormat="1" applyFont="1" applyFill="1" applyBorder="1" applyAlignment="1">
      <alignment wrapText="1"/>
    </xf>
    <xf numFmtId="41" fontId="22" fillId="4" borderId="38" xfId="0" applyNumberFormat="1" applyFont="1" applyFill="1" applyBorder="1" applyAlignment="1">
      <alignment wrapText="1"/>
    </xf>
    <xf numFmtId="41" fontId="9" fillId="5" borderId="0" xfId="0" applyNumberFormat="1" applyFont="1" applyFill="1" applyAlignment="1">
      <alignment wrapText="1"/>
    </xf>
    <xf numFmtId="41" fontId="9" fillId="5" borderId="17" xfId="0" applyNumberFormat="1" applyFont="1" applyFill="1" applyBorder="1" applyAlignment="1">
      <alignment wrapText="1"/>
    </xf>
    <xf numFmtId="41" fontId="9" fillId="5" borderId="43" xfId="0" applyNumberFormat="1" applyFont="1" applyFill="1" applyBorder="1" applyAlignment="1">
      <alignment wrapText="1"/>
    </xf>
    <xf numFmtId="41" fontId="9" fillId="4" borderId="12" xfId="0" applyNumberFormat="1" applyFont="1" applyFill="1" applyBorder="1" applyAlignment="1">
      <alignment wrapText="1"/>
    </xf>
    <xf numFmtId="0" fontId="18" fillId="2" borderId="0" xfId="0" applyFont="1" applyFill="1" applyAlignment="1">
      <alignment horizontal="center"/>
    </xf>
    <xf numFmtId="41" fontId="8" fillId="8" borderId="44" xfId="0" applyNumberFormat="1" applyFont="1" applyFill="1" applyBorder="1" applyAlignment="1">
      <alignment wrapText="1"/>
    </xf>
    <xf numFmtId="41" fontId="8" fillId="8" borderId="44" xfId="0" applyNumberFormat="1" applyFont="1" applyFill="1" applyBorder="1" applyAlignment="1">
      <alignment horizontal="right" wrapText="1"/>
    </xf>
    <xf numFmtId="41" fontId="8" fillId="8" borderId="27" xfId="0" applyNumberFormat="1" applyFont="1" applyFill="1" applyBorder="1" applyAlignment="1">
      <alignment horizontal="right" wrapText="1"/>
    </xf>
    <xf numFmtId="41" fontId="8" fillId="8" borderId="27" xfId="0" applyNumberFormat="1" applyFont="1" applyFill="1" applyBorder="1" applyAlignment="1">
      <alignment wrapText="1"/>
    </xf>
    <xf numFmtId="41" fontId="35" fillId="10" borderId="35" xfId="0" applyNumberFormat="1" applyFont="1" applyFill="1" applyBorder="1" applyAlignment="1">
      <alignment wrapText="1"/>
    </xf>
    <xf numFmtId="41" fontId="22" fillId="0" borderId="31" xfId="0" applyNumberFormat="1" applyFont="1" applyBorder="1"/>
    <xf numFmtId="41" fontId="22" fillId="4" borderId="45" xfId="0" applyNumberFormat="1" applyFont="1" applyFill="1" applyBorder="1" applyAlignment="1">
      <alignment wrapText="1"/>
    </xf>
    <xf numFmtId="41" fontId="13" fillId="0" borderId="27" xfId="0" applyNumberFormat="1" applyFont="1" applyBorder="1" applyAlignment="1">
      <alignment wrapText="1"/>
    </xf>
    <xf numFmtId="41" fontId="13" fillId="5" borderId="27" xfId="0" applyNumberFormat="1" applyFont="1" applyFill="1" applyBorder="1" applyAlignment="1">
      <alignment wrapText="1"/>
    </xf>
    <xf numFmtId="41" fontId="13" fillId="0" borderId="27" xfId="2" applyNumberFormat="1" applyFont="1" applyBorder="1" applyAlignment="1">
      <alignment wrapText="1"/>
    </xf>
    <xf numFmtId="0" fontId="9" fillId="4" borderId="27" xfId="0" applyFont="1" applyFill="1" applyBorder="1"/>
    <xf numFmtId="174" fontId="8" fillId="5" borderId="1" xfId="1" applyNumberFormat="1" applyFont="1" applyFill="1" applyBorder="1" applyAlignment="1">
      <alignment horizontal="center" wrapText="1"/>
    </xf>
    <xf numFmtId="174" fontId="9" fillId="4" borderId="0" xfId="0" applyNumberFormat="1" applyFont="1" applyFill="1" applyAlignment="1">
      <alignment horizontal="center" wrapText="1"/>
    </xf>
    <xf numFmtId="174" fontId="9" fillId="0" borderId="0" xfId="1" applyNumberFormat="1" applyFont="1" applyFill="1" applyBorder="1" applyAlignment="1">
      <alignment horizontal="center" wrapText="1"/>
    </xf>
    <xf numFmtId="0" fontId="8" fillId="9" borderId="44" xfId="0" applyFont="1" applyFill="1" applyBorder="1" applyAlignment="1">
      <alignment horizontal="center" wrapText="1"/>
    </xf>
    <xf numFmtId="169" fontId="13" fillId="0" borderId="44" xfId="0" applyNumberFormat="1" applyFont="1" applyBorder="1" applyAlignment="1">
      <alignment wrapText="1"/>
    </xf>
    <xf numFmtId="0" fontId="9" fillId="4" borderId="44" xfId="0" applyFont="1" applyFill="1" applyBorder="1" applyAlignment="1">
      <alignment wrapText="1"/>
    </xf>
    <xf numFmtId="0" fontId="9" fillId="9" borderId="16" xfId="0" applyFont="1" applyFill="1" applyBorder="1" applyAlignment="1">
      <alignment horizontal="left" wrapText="1"/>
    </xf>
    <xf numFmtId="169" fontId="9" fillId="9" borderId="44" xfId="0" applyNumberFormat="1" applyFont="1" applyFill="1" applyBorder="1" applyAlignment="1">
      <alignment horizontal="right" wrapText="1"/>
    </xf>
    <xf numFmtId="0" fontId="9" fillId="0" borderId="1" xfId="0" applyFont="1" applyBorder="1" applyAlignment="1">
      <alignment wrapText="1"/>
    </xf>
    <xf numFmtId="165" fontId="9" fillId="4" borderId="21" xfId="0" applyNumberFormat="1" applyFont="1" applyFill="1" applyBorder="1" applyAlignment="1">
      <alignment horizontal="center" wrapText="1"/>
    </xf>
    <xf numFmtId="0" fontId="9" fillId="4" borderId="21" xfId="0" applyFont="1" applyFill="1" applyBorder="1" applyAlignment="1">
      <alignment wrapText="1"/>
    </xf>
    <xf numFmtId="0" fontId="37" fillId="4" borderId="4" xfId="0" applyFont="1" applyFill="1" applyBorder="1" applyAlignment="1">
      <alignment horizontal="center" vertical="center" wrapText="1"/>
    </xf>
    <xf numFmtId="0" fontId="13" fillId="4" borderId="4" xfId="0" applyFont="1" applyFill="1" applyBorder="1" applyAlignment="1">
      <alignment horizontal="center" wrapText="1"/>
    </xf>
    <xf numFmtId="177" fontId="9" fillId="4" borderId="4" xfId="0" applyNumberFormat="1" applyFont="1" applyFill="1" applyBorder="1" applyAlignment="1">
      <alignment horizontal="center" wrapText="1"/>
    </xf>
    <xf numFmtId="169" fontId="9" fillId="4" borderId="4" xfId="0" applyNumberFormat="1" applyFont="1" applyFill="1" applyBorder="1" applyAlignment="1">
      <alignment horizontal="center" wrapText="1"/>
    </xf>
    <xf numFmtId="174" fontId="9" fillId="0" borderId="4" xfId="1" applyNumberFormat="1" applyFont="1" applyFill="1" applyBorder="1" applyAlignment="1">
      <alignment horizontal="center" wrapText="1"/>
    </xf>
    <xf numFmtId="165" fontId="9" fillId="4" borderId="4" xfId="1" applyNumberFormat="1" applyFont="1" applyFill="1" applyBorder="1" applyAlignment="1">
      <alignment horizontal="center" wrapText="1"/>
    </xf>
    <xf numFmtId="167" fontId="15" fillId="4" borderId="4" xfId="0" applyNumberFormat="1" applyFont="1" applyFill="1" applyBorder="1" applyAlignment="1">
      <alignment horizontal="center" wrapText="1"/>
    </xf>
    <xf numFmtId="165" fontId="9" fillId="4" borderId="2" xfId="1" applyNumberFormat="1" applyFont="1" applyFill="1" applyBorder="1" applyAlignment="1">
      <alignment horizontal="center" wrapText="1"/>
    </xf>
    <xf numFmtId="167" fontId="9" fillId="4" borderId="4" xfId="1" applyNumberFormat="1" applyFont="1" applyFill="1" applyBorder="1" applyAlignment="1">
      <alignment horizontal="center" wrapText="1"/>
    </xf>
    <xf numFmtId="0" fontId="0" fillId="0" borderId="1" xfId="0" applyBorder="1"/>
    <xf numFmtId="0" fontId="9" fillId="2" borderId="45" xfId="0" applyFont="1" applyFill="1" applyBorder="1" applyAlignment="1">
      <alignment wrapText="1"/>
    </xf>
    <xf numFmtId="0" fontId="36" fillId="4" borderId="12" xfId="0" applyFont="1" applyFill="1" applyBorder="1" applyAlignment="1">
      <alignment wrapText="1"/>
    </xf>
    <xf numFmtId="0" fontId="8" fillId="4" borderId="4" xfId="0" applyFont="1" applyFill="1" applyBorder="1" applyAlignment="1">
      <alignment wrapText="1"/>
    </xf>
    <xf numFmtId="0" fontId="7" fillId="11" borderId="27" xfId="0" applyFont="1" applyFill="1" applyBorder="1"/>
    <xf numFmtId="0" fontId="18" fillId="2" borderId="7" xfId="0" applyFont="1" applyFill="1" applyBorder="1" applyAlignment="1">
      <alignment horizontal="centerContinuous"/>
    </xf>
    <xf numFmtId="0" fontId="18" fillId="2" borderId="11" xfId="0" applyFont="1" applyFill="1" applyBorder="1" applyAlignment="1">
      <alignment horizontal="centerContinuous"/>
    </xf>
    <xf numFmtId="0" fontId="18" fillId="2" borderId="6" xfId="0" applyFont="1" applyFill="1" applyBorder="1" applyAlignment="1">
      <alignment horizontal="centerContinuous"/>
    </xf>
    <xf numFmtId="0" fontId="18" fillId="2" borderId="3" xfId="0" applyFont="1" applyFill="1" applyBorder="1" applyAlignment="1">
      <alignment horizontal="center"/>
    </xf>
    <xf numFmtId="0" fontId="18" fillId="2" borderId="10" xfId="0" applyFont="1" applyFill="1" applyBorder="1" applyAlignment="1">
      <alignment horizontal="center"/>
    </xf>
    <xf numFmtId="0" fontId="18" fillId="2" borderId="2" xfId="0" applyFont="1" applyFill="1" applyBorder="1" applyAlignment="1">
      <alignment horizontal="center"/>
    </xf>
    <xf numFmtId="169" fontId="9" fillId="4" borderId="5" xfId="0" applyNumberFormat="1" applyFont="1" applyFill="1" applyBorder="1"/>
    <xf numFmtId="169" fontId="9" fillId="4" borderId="4" xfId="0" applyNumberFormat="1" applyFont="1" applyFill="1" applyBorder="1"/>
    <xf numFmtId="0" fontId="18" fillId="2" borderId="14" xfId="0" applyFont="1" applyFill="1" applyBorder="1"/>
    <xf numFmtId="0" fontId="18" fillId="2" borderId="13" xfId="0" applyFont="1" applyFill="1" applyBorder="1"/>
    <xf numFmtId="169" fontId="9" fillId="4" borderId="27" xfId="0" applyNumberFormat="1" applyFont="1" applyFill="1" applyBorder="1"/>
    <xf numFmtId="0" fontId="8" fillId="4" borderId="10" xfId="0" applyFont="1" applyFill="1" applyBorder="1"/>
    <xf numFmtId="0" fontId="8" fillId="4" borderId="17" xfId="0" applyFont="1" applyFill="1" applyBorder="1"/>
    <xf numFmtId="166" fontId="23" fillId="4" borderId="0" xfId="0" applyNumberFormat="1" applyFont="1" applyFill="1"/>
    <xf numFmtId="0" fontId="18" fillId="2" borderId="11" xfId="0" applyFont="1" applyFill="1" applyBorder="1"/>
    <xf numFmtId="0" fontId="18" fillId="2" borderId="10" xfId="0" applyFont="1" applyFill="1" applyBorder="1"/>
    <xf numFmtId="10" fontId="18" fillId="2" borderId="2" xfId="0" applyNumberFormat="1" applyFont="1" applyFill="1" applyBorder="1"/>
    <xf numFmtId="0" fontId="37" fillId="0" borderId="0" xfId="0" applyFont="1" applyAlignment="1">
      <alignment horizontal="center" vertical="center" wrapText="1"/>
    </xf>
    <xf numFmtId="10" fontId="13" fillId="11" borderId="27" xfId="0" applyNumberFormat="1" applyFont="1" applyFill="1" applyBorder="1"/>
    <xf numFmtId="0" fontId="13" fillId="11" borderId="27" xfId="0" applyFont="1" applyFill="1" applyBorder="1"/>
    <xf numFmtId="0" fontId="34" fillId="5" borderId="12" xfId="0" applyFont="1" applyFill="1" applyBorder="1" applyAlignment="1">
      <alignment horizontal="centerContinuous" wrapText="1"/>
    </xf>
    <xf numFmtId="167" fontId="38" fillId="4" borderId="0" xfId="0" applyNumberFormat="1" applyFont="1" applyFill="1" applyAlignment="1">
      <alignment horizontal="center" wrapText="1"/>
    </xf>
    <xf numFmtId="167" fontId="7" fillId="4" borderId="0" xfId="0" applyNumberFormat="1" applyFont="1" applyFill="1" applyAlignment="1">
      <alignment horizontal="center" wrapText="1"/>
    </xf>
    <xf numFmtId="0" fontId="0" fillId="0" borderId="4" xfId="0" applyBorder="1"/>
    <xf numFmtId="41" fontId="8" fillId="6" borderId="18" xfId="0" applyNumberFormat="1" applyFont="1" applyFill="1" applyBorder="1"/>
    <xf numFmtId="0" fontId="0" fillId="4" borderId="1" xfId="0" applyFill="1" applyBorder="1"/>
    <xf numFmtId="41" fontId="0" fillId="4" borderId="0" xfId="0" applyNumberFormat="1" applyFill="1"/>
    <xf numFmtId="169" fontId="18" fillId="2" borderId="8" xfId="3" applyNumberFormat="1" applyFont="1" applyFill="1" applyBorder="1" applyAlignment="1"/>
    <xf numFmtId="0" fontId="18" fillId="2" borderId="3" xfId="0" applyFont="1" applyFill="1" applyBorder="1" applyAlignment="1">
      <alignment horizontal="left"/>
    </xf>
    <xf numFmtId="10" fontId="18" fillId="2" borderId="2" xfId="1" applyNumberFormat="1" applyFont="1" applyFill="1" applyBorder="1" applyAlignment="1"/>
    <xf numFmtId="172" fontId="9" fillId="3" borderId="0" xfId="0" applyNumberFormat="1" applyFont="1" applyFill="1" applyAlignment="1">
      <alignment horizontal="center"/>
    </xf>
    <xf numFmtId="172" fontId="9" fillId="3" borderId="4" xfId="0" applyNumberFormat="1" applyFont="1" applyFill="1" applyBorder="1" applyAlignment="1">
      <alignment horizontal="center"/>
    </xf>
    <xf numFmtId="172" fontId="9" fillId="4" borderId="5" xfId="0" applyNumberFormat="1" applyFont="1" applyFill="1" applyBorder="1" applyAlignment="1">
      <alignment horizontal="center"/>
    </xf>
    <xf numFmtId="172" fontId="9" fillId="4" borderId="0" xfId="0" applyNumberFormat="1" applyFont="1" applyFill="1" applyAlignment="1">
      <alignment horizontal="center"/>
    </xf>
    <xf numFmtId="172" fontId="9" fillId="4" borderId="4" xfId="0" applyNumberFormat="1" applyFont="1" applyFill="1" applyBorder="1" applyAlignment="1">
      <alignment horizontal="center"/>
    </xf>
    <xf numFmtId="2" fontId="13" fillId="11" borderId="27" xfId="0" applyNumberFormat="1" applyFont="1" applyFill="1" applyBorder="1"/>
    <xf numFmtId="172" fontId="9" fillId="3" borderId="5" xfId="0" applyNumberFormat="1" applyFont="1" applyFill="1" applyBorder="1" applyAlignment="1">
      <alignment horizontal="center"/>
    </xf>
    <xf numFmtId="175" fontId="9" fillId="4" borderId="0" xfId="0" applyNumberFormat="1" applyFont="1" applyFill="1"/>
    <xf numFmtId="173" fontId="13" fillId="0" borderId="2" xfId="0" applyNumberFormat="1" applyFont="1" applyBorder="1" applyAlignment="1">
      <alignment wrapText="1"/>
    </xf>
    <xf numFmtId="0" fontId="9" fillId="0" borderId="12" xfId="0" applyFont="1" applyBorder="1"/>
    <xf numFmtId="10" fontId="22" fillId="4" borderId="4" xfId="0" applyNumberFormat="1" applyFont="1" applyFill="1" applyBorder="1"/>
    <xf numFmtId="10" fontId="22" fillId="4" borderId="2" xfId="0" applyNumberFormat="1" applyFont="1" applyFill="1" applyBorder="1"/>
    <xf numFmtId="10" fontId="9" fillId="4" borderId="2" xfId="1" applyNumberFormat="1" applyFont="1" applyFill="1" applyBorder="1" applyAlignment="1">
      <alignment horizontal="right"/>
    </xf>
    <xf numFmtId="0" fontId="8" fillId="0" borderId="10" xfId="0" applyFont="1" applyBorder="1"/>
    <xf numFmtId="0" fontId="8" fillId="0" borderId="0" xfId="0" applyFont="1" applyAlignment="1">
      <alignment horizontal="center"/>
    </xf>
    <xf numFmtId="0" fontId="21" fillId="0" borderId="0" xfId="0" applyFont="1"/>
    <xf numFmtId="10" fontId="9" fillId="0" borderId="0" xfId="0" applyNumberFormat="1" applyFont="1" applyAlignment="1">
      <alignment horizontal="left"/>
    </xf>
    <xf numFmtId="10" fontId="9" fillId="0" borderId="0" xfId="0" applyNumberFormat="1" applyFont="1"/>
    <xf numFmtId="0" fontId="8" fillId="0" borderId="46" xfId="0" applyFont="1" applyBorder="1"/>
    <xf numFmtId="166" fontId="9" fillId="0" borderId="46" xfId="0" applyNumberFormat="1" applyFont="1" applyBorder="1"/>
    <xf numFmtId="41" fontId="40" fillId="0" borderId="0" xfId="0" applyNumberFormat="1" applyFont="1"/>
    <xf numFmtId="0" fontId="9" fillId="6" borderId="0" xfId="0" applyFont="1" applyFill="1"/>
    <xf numFmtId="166" fontId="9" fillId="6" borderId="0" xfId="0" applyNumberFormat="1" applyFont="1" applyFill="1"/>
    <xf numFmtId="0" fontId="9" fillId="0" borderId="5" xfId="0" applyFont="1" applyBorder="1" applyAlignment="1">
      <alignment horizontal="center"/>
    </xf>
    <xf numFmtId="0" fontId="9" fillId="0" borderId="0" xfId="0" applyFont="1" applyAlignment="1">
      <alignment horizontal="center"/>
    </xf>
    <xf numFmtId="0" fontId="9" fillId="0" borderId="4" xfId="0" applyFont="1" applyBorder="1" applyAlignment="1">
      <alignment horizontal="center"/>
    </xf>
    <xf numFmtId="41" fontId="8" fillId="4" borderId="0" xfId="1" applyNumberFormat="1" applyFont="1" applyFill="1"/>
    <xf numFmtId="0" fontId="41" fillId="0" borderId="0" xfId="0" applyFont="1" applyAlignment="1">
      <alignment horizontal="left" vertical="center" wrapText="1"/>
    </xf>
    <xf numFmtId="0" fontId="41" fillId="4" borderId="0" xfId="0" applyFont="1" applyFill="1" applyAlignment="1">
      <alignment horizontal="left" vertical="center" wrapText="1"/>
    </xf>
    <xf numFmtId="0" fontId="9" fillId="6" borderId="24" xfId="0" applyFont="1" applyFill="1" applyBorder="1"/>
    <xf numFmtId="169" fontId="9" fillId="6" borderId="23" xfId="0" applyNumberFormat="1" applyFont="1" applyFill="1" applyBorder="1"/>
    <xf numFmtId="177" fontId="8" fillId="4" borderId="0" xfId="0" applyNumberFormat="1" applyFont="1" applyFill="1" applyAlignment="1">
      <alignment horizontal="center" vertical="center"/>
    </xf>
    <xf numFmtId="177" fontId="9" fillId="4" borderId="0" xfId="0" applyNumberFormat="1" applyFont="1" applyFill="1" applyAlignment="1">
      <alignment horizontal="center" vertical="center"/>
    </xf>
    <xf numFmtId="177" fontId="9" fillId="4" borderId="0" xfId="0" applyNumberFormat="1" applyFont="1" applyFill="1"/>
    <xf numFmtId="0" fontId="42" fillId="0" borderId="0" xfId="0" applyFont="1"/>
    <xf numFmtId="17" fontId="9" fillId="0" borderId="0" xfId="0" applyNumberFormat="1" applyFont="1"/>
    <xf numFmtId="2" fontId="9" fillId="0" borderId="0" xfId="0" applyNumberFormat="1" applyFont="1"/>
    <xf numFmtId="9" fontId="0" fillId="0" borderId="0" xfId="1" applyFont="1"/>
    <xf numFmtId="165" fontId="9" fillId="0" borderId="0" xfId="1" applyNumberFormat="1" applyFont="1"/>
    <xf numFmtId="0" fontId="9" fillId="0" borderId="0" xfId="0" applyFont="1" applyAlignment="1">
      <alignment horizontal="right"/>
    </xf>
    <xf numFmtId="17" fontId="9" fillId="0" borderId="0" xfId="0" applyNumberFormat="1" applyFont="1" applyAlignment="1">
      <alignment horizontal="right"/>
    </xf>
    <xf numFmtId="41" fontId="9" fillId="0" borderId="0" xfId="0" applyNumberFormat="1" applyFont="1" applyAlignment="1">
      <alignment horizontal="right"/>
    </xf>
    <xf numFmtId="0" fontId="20" fillId="0" borderId="0" xfId="0" applyFont="1" applyAlignment="1">
      <alignment horizontal="center"/>
    </xf>
    <xf numFmtId="17" fontId="20" fillId="0" borderId="0" xfId="0" applyNumberFormat="1" applyFont="1" applyAlignment="1">
      <alignment horizontal="center"/>
    </xf>
    <xf numFmtId="2" fontId="9" fillId="0" borderId="0" xfId="0" applyNumberFormat="1" applyFont="1" applyAlignment="1">
      <alignment horizontal="center"/>
    </xf>
    <xf numFmtId="165" fontId="9" fillId="0" borderId="0" xfId="1" applyNumberFormat="1" applyFont="1" applyAlignment="1">
      <alignment horizontal="center"/>
    </xf>
    <xf numFmtId="41" fontId="9" fillId="0" borderId="0" xfId="0" applyNumberFormat="1" applyFont="1" applyAlignment="1">
      <alignment horizontal="center"/>
    </xf>
    <xf numFmtId="169" fontId="13" fillId="4" borderId="0" xfId="0" applyNumberFormat="1" applyFont="1" applyFill="1" applyAlignment="1">
      <alignment horizontal="center"/>
    </xf>
    <xf numFmtId="0" fontId="16" fillId="4" borderId="0" xfId="0" applyFont="1" applyFill="1"/>
    <xf numFmtId="0" fontId="9" fillId="4" borderId="22" xfId="0" applyFont="1" applyFill="1" applyBorder="1"/>
    <xf numFmtId="0" fontId="9" fillId="4" borderId="22" xfId="0" applyFont="1" applyFill="1" applyBorder="1" applyAlignment="1">
      <alignment horizontal="left"/>
    </xf>
    <xf numFmtId="169" fontId="9" fillId="4" borderId="47" xfId="0" applyNumberFormat="1" applyFont="1" applyFill="1" applyBorder="1"/>
    <xf numFmtId="169" fontId="9" fillId="4" borderId="48" xfId="0" applyNumberFormat="1" applyFont="1" applyFill="1" applyBorder="1"/>
    <xf numFmtId="169" fontId="9" fillId="4" borderId="49" xfId="0" applyNumberFormat="1" applyFont="1" applyFill="1" applyBorder="1"/>
    <xf numFmtId="169" fontId="9" fillId="4" borderId="50" xfId="0" applyNumberFormat="1" applyFont="1" applyFill="1" applyBorder="1"/>
    <xf numFmtId="169" fontId="9" fillId="4" borderId="34" xfId="0" applyNumberFormat="1" applyFont="1" applyFill="1" applyBorder="1"/>
    <xf numFmtId="169" fontId="9" fillId="9" borderId="35" xfId="0" applyNumberFormat="1" applyFont="1" applyFill="1" applyBorder="1" applyAlignment="1">
      <alignment horizontal="right" wrapText="1"/>
    </xf>
    <xf numFmtId="169" fontId="13" fillId="5" borderId="34" xfId="0" applyNumberFormat="1" applyFont="1" applyFill="1" applyBorder="1" applyAlignment="1">
      <alignment wrapText="1"/>
    </xf>
    <xf numFmtId="41" fontId="13" fillId="0" borderId="34" xfId="0" applyNumberFormat="1" applyFont="1" applyBorder="1" applyAlignment="1">
      <alignment wrapText="1"/>
    </xf>
    <xf numFmtId="41" fontId="13" fillId="5" borderId="34" xfId="0" applyNumberFormat="1" applyFont="1" applyFill="1" applyBorder="1" applyAlignment="1">
      <alignment wrapText="1"/>
    </xf>
    <xf numFmtId="41" fontId="13" fillId="0" borderId="42" xfId="2" applyNumberFormat="1" applyFont="1" applyBorder="1" applyAlignment="1">
      <alignment wrapText="1"/>
    </xf>
    <xf numFmtId="169" fontId="9" fillId="12" borderId="49" xfId="0" applyNumberFormat="1" applyFont="1" applyFill="1" applyBorder="1"/>
    <xf numFmtId="169" fontId="9" fillId="12" borderId="34" xfId="0" applyNumberFormat="1" applyFont="1" applyFill="1" applyBorder="1"/>
    <xf numFmtId="169" fontId="22" fillId="0" borderId="27" xfId="0" applyNumberFormat="1" applyFont="1" applyBorder="1" applyAlignment="1">
      <alignment horizontal="right" wrapText="1"/>
    </xf>
    <xf numFmtId="41" fontId="35" fillId="0" borderId="44" xfId="0" applyNumberFormat="1" applyFont="1" applyBorder="1" applyAlignment="1">
      <alignment wrapText="1"/>
    </xf>
    <xf numFmtId="41" fontId="9" fillId="4" borderId="44" xfId="0" applyNumberFormat="1" applyFont="1" applyFill="1" applyBorder="1" applyAlignment="1">
      <alignment wrapText="1"/>
    </xf>
    <xf numFmtId="41" fontId="22" fillId="0" borderId="29" xfId="0" applyNumberFormat="1" applyFont="1" applyBorder="1" applyAlignment="1">
      <alignment wrapText="1"/>
    </xf>
    <xf numFmtId="41" fontId="9" fillId="5" borderId="32" xfId="0" applyNumberFormat="1" applyFont="1" applyFill="1" applyBorder="1" applyAlignment="1">
      <alignment wrapText="1"/>
    </xf>
    <xf numFmtId="41" fontId="9" fillId="4" borderId="53" xfId="0" applyNumberFormat="1" applyFont="1" applyFill="1" applyBorder="1" applyAlignment="1">
      <alignment wrapText="1"/>
    </xf>
    <xf numFmtId="41" fontId="8" fillId="0" borderId="40" xfId="0" applyNumberFormat="1" applyFont="1" applyBorder="1" applyAlignment="1">
      <alignment wrapText="1"/>
    </xf>
    <xf numFmtId="167" fontId="38" fillId="4" borderId="7" xfId="0" applyNumberFormat="1" applyFont="1" applyFill="1" applyBorder="1" applyAlignment="1">
      <alignment horizontal="center" wrapText="1"/>
    </xf>
    <xf numFmtId="0" fontId="9" fillId="0" borderId="12" xfId="0" applyFont="1" applyBorder="1" applyAlignment="1">
      <alignment wrapText="1"/>
    </xf>
    <xf numFmtId="8" fontId="13" fillId="0" borderId="0" xfId="0" applyNumberFormat="1" applyFont="1" applyAlignment="1">
      <alignment horizontal="right" vertical="top"/>
    </xf>
    <xf numFmtId="166" fontId="8" fillId="0" borderId="4" xfId="0" applyNumberFormat="1" applyFont="1" applyBorder="1"/>
    <xf numFmtId="3" fontId="9" fillId="4" borderId="0" xfId="0" applyNumberFormat="1" applyFont="1" applyFill="1"/>
    <xf numFmtId="0" fontId="9" fillId="2" borderId="6" xfId="0" applyFont="1" applyFill="1" applyBorder="1"/>
    <xf numFmtId="0" fontId="9" fillId="4" borderId="4" xfId="0" applyFont="1" applyFill="1" applyBorder="1"/>
    <xf numFmtId="169" fontId="8" fillId="4" borderId="0" xfId="0" applyNumberFormat="1" applyFont="1" applyFill="1"/>
    <xf numFmtId="0" fontId="13" fillId="4" borderId="0" xfId="0" applyFont="1" applyFill="1"/>
    <xf numFmtId="0" fontId="7" fillId="4" borderId="0" xfId="0" applyFont="1" applyFill="1" applyAlignment="1">
      <alignment horizontal="right"/>
    </xf>
    <xf numFmtId="0" fontId="7" fillId="4" borderId="0" xfId="0" applyFont="1" applyFill="1" applyAlignment="1">
      <alignment horizontal="center"/>
    </xf>
    <xf numFmtId="169" fontId="13" fillId="4" borderId="0" xfId="0" applyNumberFormat="1" applyFont="1" applyFill="1"/>
    <xf numFmtId="0" fontId="18" fillId="2" borderId="5" xfId="0" applyFont="1" applyFill="1" applyBorder="1"/>
    <xf numFmtId="0" fontId="9" fillId="2" borderId="4" xfId="0" applyFont="1" applyFill="1" applyBorder="1"/>
    <xf numFmtId="0" fontId="8" fillId="7" borderId="5" xfId="0" applyFont="1" applyFill="1" applyBorder="1"/>
    <xf numFmtId="0" fontId="9" fillId="7" borderId="0" xfId="0" applyFont="1" applyFill="1"/>
    <xf numFmtId="10" fontId="8" fillId="7" borderId="0" xfId="1" applyNumberFormat="1" applyFont="1" applyFill="1" applyBorder="1"/>
    <xf numFmtId="0" fontId="8" fillId="7" borderId="0" xfId="0" applyFont="1" applyFill="1"/>
    <xf numFmtId="166" fontId="8" fillId="7" borderId="0" xfId="0" applyNumberFormat="1" applyFont="1" applyFill="1"/>
    <xf numFmtId="166" fontId="8" fillId="7" borderId="4" xfId="0" applyNumberFormat="1" applyFont="1" applyFill="1" applyBorder="1"/>
    <xf numFmtId="0" fontId="24" fillId="4" borderId="5" xfId="0" applyFont="1" applyFill="1" applyBorder="1" applyAlignment="1">
      <alignment horizontal="left" indent="1"/>
    </xf>
    <xf numFmtId="0" fontId="24" fillId="4" borderId="0" xfId="0" applyFont="1" applyFill="1"/>
    <xf numFmtId="10" fontId="8" fillId="4" borderId="0" xfId="0" applyNumberFormat="1" applyFont="1" applyFill="1"/>
    <xf numFmtId="0" fontId="30" fillId="4" borderId="0" xfId="0" applyFont="1" applyFill="1"/>
    <xf numFmtId="10" fontId="30" fillId="4" borderId="0" xfId="1" applyNumberFormat="1" applyFont="1" applyFill="1" applyBorder="1"/>
    <xf numFmtId="10" fontId="24" fillId="4" borderId="0" xfId="1" applyNumberFormat="1" applyFont="1" applyFill="1" applyBorder="1"/>
    <xf numFmtId="10" fontId="24" fillId="4" borderId="4" xfId="1" applyNumberFormat="1" applyFont="1" applyFill="1" applyBorder="1"/>
    <xf numFmtId="0" fontId="24" fillId="7" borderId="0" xfId="0" applyFont="1" applyFill="1"/>
    <xf numFmtId="10" fontId="8" fillId="7" borderId="0" xfId="0" applyNumberFormat="1" applyFont="1" applyFill="1"/>
    <xf numFmtId="0" fontId="30" fillId="7" borderId="0" xfId="0" applyFont="1" applyFill="1"/>
    <xf numFmtId="10" fontId="30" fillId="7" borderId="0" xfId="1" applyNumberFormat="1" applyFont="1" applyFill="1" applyBorder="1"/>
    <xf numFmtId="0" fontId="24" fillId="7" borderId="5" xfId="0" applyFont="1" applyFill="1" applyBorder="1" applyAlignment="1">
      <alignment horizontal="left" indent="1"/>
    </xf>
    <xf numFmtId="10" fontId="24" fillId="7" borderId="0" xfId="1" applyNumberFormat="1" applyFont="1" applyFill="1" applyBorder="1"/>
    <xf numFmtId="10" fontId="24" fillId="7" borderId="4" xfId="1" applyNumberFormat="1" applyFont="1" applyFill="1" applyBorder="1"/>
    <xf numFmtId="0" fontId="24" fillId="0" borderId="0" xfId="0" applyFont="1"/>
    <xf numFmtId="10" fontId="8" fillId="0" borderId="0" xfId="0" applyNumberFormat="1" applyFont="1"/>
    <xf numFmtId="0" fontId="30" fillId="0" borderId="0" xfId="0" applyFont="1"/>
    <xf numFmtId="10" fontId="30" fillId="0" borderId="0" xfId="1" applyNumberFormat="1" applyFont="1" applyFill="1" applyBorder="1"/>
    <xf numFmtId="166" fontId="8" fillId="0" borderId="0" xfId="0" applyNumberFormat="1" applyFont="1"/>
    <xf numFmtId="10" fontId="30" fillId="7" borderId="0" xfId="0" applyNumberFormat="1" applyFont="1" applyFill="1"/>
    <xf numFmtId="0" fontId="24" fillId="0" borderId="5" xfId="0" applyFont="1" applyBorder="1" applyAlignment="1">
      <alignment horizontal="left" indent="1"/>
    </xf>
    <xf numFmtId="10" fontId="24" fillId="0" borderId="0" xfId="1" applyNumberFormat="1" applyFont="1" applyFill="1" applyBorder="1"/>
    <xf numFmtId="10" fontId="24" fillId="0" borderId="4" xfId="1" applyNumberFormat="1" applyFont="1" applyFill="1" applyBorder="1"/>
    <xf numFmtId="10" fontId="8" fillId="0" borderId="0" xfId="1" applyNumberFormat="1" applyFont="1" applyFill="1" applyBorder="1"/>
    <xf numFmtId="169" fontId="8" fillId="7" borderId="0" xfId="0" applyNumberFormat="1" applyFont="1" applyFill="1"/>
    <xf numFmtId="169" fontId="8" fillId="7" borderId="4" xfId="0" applyNumberFormat="1" applyFont="1" applyFill="1" applyBorder="1"/>
    <xf numFmtId="0" fontId="9" fillId="7" borderId="5" xfId="0" applyFont="1" applyFill="1" applyBorder="1"/>
    <xf numFmtId="166" fontId="9" fillId="7" borderId="0" xfId="0" applyNumberFormat="1" applyFont="1" applyFill="1"/>
    <xf numFmtId="166" fontId="9" fillId="7" borderId="4" xfId="0" applyNumberFormat="1" applyFont="1" applyFill="1" applyBorder="1"/>
    <xf numFmtId="166" fontId="9" fillId="4" borderId="4" xfId="0" applyNumberFormat="1" applyFont="1" applyFill="1" applyBorder="1"/>
    <xf numFmtId="41" fontId="9" fillId="7" borderId="0" xfId="0" applyNumberFormat="1" applyFont="1" applyFill="1"/>
    <xf numFmtId="41" fontId="9" fillId="7" borderId="4" xfId="0" applyNumberFormat="1" applyFont="1" applyFill="1" applyBorder="1"/>
    <xf numFmtId="41" fontId="9" fillId="4" borderId="4" xfId="0" applyNumberFormat="1" applyFont="1" applyFill="1" applyBorder="1"/>
    <xf numFmtId="10" fontId="9" fillId="7" borderId="0" xfId="1" applyNumberFormat="1" applyFont="1" applyFill="1" applyBorder="1"/>
    <xf numFmtId="10" fontId="9" fillId="7" borderId="4" xfId="1" applyNumberFormat="1" applyFont="1" applyFill="1" applyBorder="1"/>
    <xf numFmtId="10" fontId="9" fillId="4" borderId="0" xfId="1" applyNumberFormat="1" applyFont="1" applyFill="1" applyBorder="1"/>
    <xf numFmtId="174" fontId="9" fillId="7" borderId="0" xfId="0" applyNumberFormat="1" applyFont="1" applyFill="1"/>
    <xf numFmtId="174" fontId="9" fillId="7" borderId="4" xfId="0" applyNumberFormat="1" applyFont="1" applyFill="1" applyBorder="1"/>
    <xf numFmtId="174" fontId="9" fillId="4" borderId="4" xfId="0" applyNumberFormat="1" applyFont="1" applyFill="1" applyBorder="1"/>
    <xf numFmtId="0" fontId="9" fillId="0" borderId="3" xfId="0" applyFont="1" applyBorder="1" applyAlignment="1">
      <alignment wrapText="1"/>
    </xf>
    <xf numFmtId="0" fontId="9" fillId="0" borderId="10" xfId="0" applyFont="1" applyBorder="1" applyAlignment="1">
      <alignment wrapText="1"/>
    </xf>
    <xf numFmtId="174" fontId="9" fillId="0" borderId="10" xfId="0" applyNumberFormat="1" applyFont="1" applyBorder="1" applyAlignment="1">
      <alignment wrapText="1"/>
    </xf>
    <xf numFmtId="174" fontId="9" fillId="0" borderId="2" xfId="0" applyNumberFormat="1" applyFont="1" applyBorder="1" applyAlignment="1">
      <alignment wrapText="1"/>
    </xf>
    <xf numFmtId="177" fontId="9" fillId="0" borderId="0" xfId="0" applyNumberFormat="1" applyFont="1" applyAlignment="1">
      <alignment horizontal="center" vertical="center"/>
    </xf>
    <xf numFmtId="174" fontId="9" fillId="0" borderId="0" xfId="0" applyNumberFormat="1" applyFont="1" applyAlignment="1">
      <alignment horizontal="center"/>
    </xf>
    <xf numFmtId="41" fontId="47" fillId="6" borderId="5" xfId="0" applyNumberFormat="1" applyFont="1" applyFill="1" applyBorder="1" applyAlignment="1">
      <alignment horizontal="right" vertical="top"/>
    </xf>
    <xf numFmtId="41" fontId="35" fillId="0" borderId="5" xfId="0" applyNumberFormat="1" applyFont="1" applyBorder="1" applyAlignment="1">
      <alignment horizontal="right" vertical="top"/>
    </xf>
    <xf numFmtId="41" fontId="35" fillId="0" borderId="0" xfId="0" applyNumberFormat="1" applyFont="1" applyAlignment="1">
      <alignment horizontal="right" vertical="top"/>
    </xf>
    <xf numFmtId="41" fontId="35" fillId="0" borderId="4" xfId="0" applyNumberFormat="1" applyFont="1" applyBorder="1" applyAlignment="1">
      <alignment horizontal="right" vertical="top"/>
    </xf>
    <xf numFmtId="41" fontId="47" fillId="6" borderId="0" xfId="0" applyNumberFormat="1" applyFont="1" applyFill="1" applyAlignment="1">
      <alignment horizontal="right" vertical="top"/>
    </xf>
    <xf numFmtId="41" fontId="47" fillId="6" borderId="4" xfId="0" applyNumberFormat="1" applyFont="1" applyFill="1" applyBorder="1" applyAlignment="1">
      <alignment horizontal="right" vertical="top"/>
    </xf>
    <xf numFmtId="41" fontId="22" fillId="0" borderId="5" xfId="0" applyNumberFormat="1" applyFont="1" applyBorder="1" applyAlignment="1">
      <alignment horizontal="right" vertical="top"/>
    </xf>
    <xf numFmtId="41" fontId="22" fillId="0" borderId="0" xfId="0" applyNumberFormat="1" applyFont="1" applyAlignment="1">
      <alignment horizontal="right" vertical="top"/>
    </xf>
    <xf numFmtId="41" fontId="22" fillId="0" borderId="4" xfId="0" applyNumberFormat="1" applyFont="1" applyBorder="1" applyAlignment="1">
      <alignment horizontal="right" vertical="top"/>
    </xf>
    <xf numFmtId="41" fontId="22" fillId="0" borderId="3" xfId="0" applyNumberFormat="1" applyFont="1" applyBorder="1" applyAlignment="1">
      <alignment horizontal="right" vertical="top"/>
    </xf>
    <xf numFmtId="41" fontId="22" fillId="0" borderId="10" xfId="0" applyNumberFormat="1" applyFont="1" applyBorder="1" applyAlignment="1">
      <alignment horizontal="right" vertical="top"/>
    </xf>
    <xf numFmtId="41" fontId="22" fillId="0" borderId="2" xfId="0" applyNumberFormat="1" applyFont="1" applyBorder="1" applyAlignment="1">
      <alignment horizontal="right" vertical="top"/>
    </xf>
    <xf numFmtId="41" fontId="47" fillId="6" borderId="20" xfId="0" applyNumberFormat="1" applyFont="1" applyFill="1" applyBorder="1" applyAlignment="1">
      <alignment horizontal="right" vertical="top"/>
    </xf>
    <xf numFmtId="41" fontId="35" fillId="0" borderId="18" xfId="0" applyNumberFormat="1" applyFont="1" applyBorder="1" applyAlignment="1">
      <alignment horizontal="right" vertical="top"/>
    </xf>
    <xf numFmtId="41" fontId="22" fillId="0" borderId="18" xfId="0" applyNumberFormat="1" applyFont="1" applyBorder="1" applyAlignment="1">
      <alignment horizontal="right" vertical="top"/>
    </xf>
    <xf numFmtId="41" fontId="22" fillId="0" borderId="19" xfId="0" applyNumberFormat="1" applyFont="1" applyBorder="1" applyAlignment="1">
      <alignment horizontal="right" vertical="top"/>
    </xf>
    <xf numFmtId="9" fontId="47" fillId="0" borderId="0" xfId="0" applyNumberFormat="1" applyFont="1"/>
    <xf numFmtId="165" fontId="47" fillId="0" borderId="11" xfId="0" applyNumberFormat="1" applyFont="1" applyBorder="1"/>
    <xf numFmtId="165" fontId="47" fillId="0" borderId="7" xfId="0" applyNumberFormat="1" applyFont="1" applyBorder="1"/>
    <xf numFmtId="169" fontId="9" fillId="4" borderId="44" xfId="3" applyNumberFormat="1" applyFont="1" applyFill="1" applyBorder="1" applyAlignment="1">
      <alignment wrapText="1"/>
    </xf>
    <xf numFmtId="0" fontId="33" fillId="4" borderId="22" xfId="0" applyFont="1" applyFill="1" applyBorder="1" applyAlignment="1">
      <alignment horizontal="center"/>
    </xf>
    <xf numFmtId="0" fontId="9" fillId="4" borderId="0" xfId="0" applyFont="1" applyFill="1" applyAlignment="1">
      <alignment horizontal="center"/>
    </xf>
    <xf numFmtId="0" fontId="9" fillId="4" borderId="21" xfId="0" applyFont="1" applyFill="1" applyBorder="1" applyAlignment="1">
      <alignment horizontal="center"/>
    </xf>
    <xf numFmtId="0" fontId="17" fillId="2" borderId="0" xfId="0" applyFont="1" applyFill="1" applyAlignment="1">
      <alignment horizontal="center"/>
    </xf>
    <xf numFmtId="11" fontId="17" fillId="2" borderId="0" xfId="0" applyNumberFormat="1" applyFont="1" applyFill="1" applyAlignment="1">
      <alignment horizontal="center"/>
    </xf>
    <xf numFmtId="0" fontId="18" fillId="2" borderId="0" xfId="0" applyFont="1" applyFill="1" applyAlignment="1">
      <alignment horizontal="center"/>
    </xf>
    <xf numFmtId="0" fontId="8" fillId="4" borderId="17" xfId="0" applyFont="1" applyFill="1" applyBorder="1" applyAlignment="1">
      <alignment horizontal="center"/>
    </xf>
    <xf numFmtId="0" fontId="27" fillId="2" borderId="0" xfId="0" applyFont="1" applyFill="1" applyAlignment="1">
      <alignment horizontal="center"/>
    </xf>
    <xf numFmtId="0" fontId="9" fillId="4" borderId="0" xfId="0" applyFont="1" applyFill="1" applyAlignment="1">
      <alignment horizontal="center" vertical="center"/>
    </xf>
    <xf numFmtId="0" fontId="34" fillId="5" borderId="9" xfId="0" applyFont="1" applyFill="1" applyBorder="1" applyAlignment="1">
      <alignment horizontal="center" wrapText="1"/>
    </xf>
    <xf numFmtId="0" fontId="34" fillId="5" borderId="12" xfId="0" applyFont="1" applyFill="1" applyBorder="1" applyAlignment="1">
      <alignment horizontal="center" wrapText="1"/>
    </xf>
    <xf numFmtId="0" fontId="13" fillId="5" borderId="52" xfId="0" applyFont="1" applyFill="1" applyBorder="1" applyAlignment="1">
      <alignment horizontal="left" wrapText="1"/>
    </xf>
    <xf numFmtId="0" fontId="13" fillId="5" borderId="44" xfId="0" applyFont="1" applyFill="1" applyBorder="1" applyAlignment="1">
      <alignment horizontal="left" wrapText="1"/>
    </xf>
    <xf numFmtId="0" fontId="9" fillId="4" borderId="52" xfId="0" applyFont="1" applyFill="1" applyBorder="1" applyAlignment="1">
      <alignment horizontal="left" wrapText="1"/>
    </xf>
    <xf numFmtId="0" fontId="9" fillId="4" borderId="44" xfId="0" applyFont="1" applyFill="1" applyBorder="1" applyAlignment="1">
      <alignment horizontal="left" wrapText="1"/>
    </xf>
    <xf numFmtId="0" fontId="13" fillId="0" borderId="37" xfId="0" applyFont="1" applyBorder="1" applyAlignment="1">
      <alignment horizontal="left" wrapText="1"/>
    </xf>
    <xf numFmtId="0" fontId="13" fillId="0" borderId="39" xfId="0" applyFont="1" applyBorder="1" applyAlignment="1">
      <alignment horizontal="left" wrapText="1"/>
    </xf>
    <xf numFmtId="0" fontId="8" fillId="9" borderId="51" xfId="0" applyFont="1" applyFill="1" applyBorder="1" applyAlignment="1">
      <alignment horizontal="center" wrapText="1"/>
    </xf>
    <xf numFmtId="0" fontId="8" fillId="9" borderId="32" xfId="0" applyFont="1" applyFill="1" applyBorder="1" applyAlignment="1">
      <alignment horizontal="center" wrapText="1"/>
    </xf>
    <xf numFmtId="0" fontId="8" fillId="9" borderId="33" xfId="0" applyFont="1" applyFill="1" applyBorder="1" applyAlignment="1">
      <alignment horizontal="center" wrapText="1"/>
    </xf>
    <xf numFmtId="0" fontId="14" fillId="5" borderId="9" xfId="0" applyFont="1" applyFill="1" applyBorder="1" applyAlignment="1">
      <alignment horizontal="center"/>
    </xf>
    <xf numFmtId="0" fontId="14" fillId="5" borderId="8" xfId="0" applyFont="1" applyFill="1" applyBorder="1" applyAlignment="1">
      <alignment horizontal="center"/>
    </xf>
    <xf numFmtId="0" fontId="19" fillId="4" borderId="0" xfId="0" applyFont="1" applyFill="1" applyAlignment="1">
      <alignment horizontal="center"/>
    </xf>
    <xf numFmtId="0" fontId="8" fillId="9" borderId="16" xfId="0" applyFont="1" applyFill="1" applyBorder="1" applyAlignment="1">
      <alignment horizontal="center" wrapText="1"/>
    </xf>
    <xf numFmtId="0" fontId="19" fillId="2" borderId="0" xfId="0" applyFont="1" applyFill="1" applyAlignment="1">
      <alignment horizontal="center"/>
    </xf>
    <xf numFmtId="0" fontId="9" fillId="4" borderId="11" xfId="0" applyFont="1" applyFill="1" applyBorder="1" applyAlignment="1">
      <alignment horizontal="center"/>
    </xf>
    <xf numFmtId="0" fontId="9" fillId="4" borderId="6" xfId="0" applyFont="1" applyFill="1" applyBorder="1" applyAlignment="1">
      <alignment horizontal="center"/>
    </xf>
    <xf numFmtId="0" fontId="9" fillId="4" borderId="10" xfId="0" applyFont="1" applyFill="1" applyBorder="1" applyAlignment="1">
      <alignment horizontal="center"/>
    </xf>
    <xf numFmtId="0" fontId="9" fillId="4" borderId="2" xfId="0" applyFont="1" applyFill="1" applyBorder="1" applyAlignment="1">
      <alignment horizontal="center"/>
    </xf>
    <xf numFmtId="0" fontId="18" fillId="2" borderId="9" xfId="0" applyFont="1" applyFill="1" applyBorder="1" applyAlignment="1">
      <alignment horizontal="center"/>
    </xf>
    <xf numFmtId="0" fontId="18" fillId="2" borderId="8" xfId="0" applyFont="1" applyFill="1" applyBorder="1" applyAlignment="1">
      <alignment horizontal="center"/>
    </xf>
    <xf numFmtId="43" fontId="18" fillId="2" borderId="9" xfId="0" applyNumberFormat="1" applyFont="1" applyFill="1" applyBorder="1" applyAlignment="1">
      <alignment horizontal="center"/>
    </xf>
    <xf numFmtId="43" fontId="18" fillId="2" borderId="12" xfId="0" applyNumberFormat="1" applyFont="1" applyFill="1" applyBorder="1" applyAlignment="1">
      <alignment horizontal="center"/>
    </xf>
    <xf numFmtId="43" fontId="18" fillId="2" borderId="8" xfId="0" applyNumberFormat="1" applyFont="1" applyFill="1" applyBorder="1" applyAlignment="1">
      <alignment horizontal="center"/>
    </xf>
    <xf numFmtId="43" fontId="8" fillId="3" borderId="9" xfId="0" applyNumberFormat="1" applyFont="1" applyFill="1" applyBorder="1" applyAlignment="1">
      <alignment horizontal="center" wrapText="1"/>
    </xf>
    <xf numFmtId="43" fontId="8" fillId="3" borderId="12" xfId="0" applyNumberFormat="1" applyFont="1" applyFill="1" applyBorder="1" applyAlignment="1">
      <alignment horizontal="center" wrapText="1"/>
    </xf>
    <xf numFmtId="43" fontId="8" fillId="3" borderId="8" xfId="0" applyNumberFormat="1" applyFont="1" applyFill="1" applyBorder="1" applyAlignment="1">
      <alignment horizontal="center" wrapText="1"/>
    </xf>
    <xf numFmtId="0" fontId="18" fillId="2" borderId="27" xfId="0" applyFont="1" applyFill="1" applyBorder="1" applyAlignment="1">
      <alignment horizontal="center"/>
    </xf>
    <xf numFmtId="41" fontId="35" fillId="0" borderId="27" xfId="0" applyNumberFormat="1" applyFont="1" applyBorder="1"/>
    <xf numFmtId="174" fontId="9" fillId="4" borderId="17" xfId="0" applyNumberFormat="1" applyFont="1" applyFill="1" applyBorder="1" applyAlignment="1">
      <alignment horizontal="center"/>
    </xf>
    <xf numFmtId="0" fontId="8" fillId="6" borderId="24" xfId="0" applyFont="1" applyFill="1" applyBorder="1"/>
    <xf numFmtId="0" fontId="9" fillId="9" borderId="52" xfId="0" applyFont="1" applyFill="1" applyBorder="1" applyAlignment="1">
      <alignment horizontal="left" wrapText="1"/>
    </xf>
    <xf numFmtId="0" fontId="9" fillId="9" borderId="44" xfId="0" applyFont="1" applyFill="1" applyBorder="1" applyAlignment="1">
      <alignment horizontal="left" wrapText="1"/>
    </xf>
    <xf numFmtId="0" fontId="13" fillId="5" borderId="52" xfId="0" applyFont="1" applyFill="1" applyBorder="1" applyAlignment="1">
      <alignment wrapText="1"/>
    </xf>
    <xf numFmtId="0" fontId="13" fillId="5" borderId="44" xfId="0" applyFont="1" applyFill="1" applyBorder="1" applyAlignment="1">
      <alignment wrapText="1"/>
    </xf>
    <xf numFmtId="0" fontId="37" fillId="0" borderId="0"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13" fillId="4" borderId="0" xfId="0" applyFont="1" applyFill="1" applyBorder="1" applyAlignment="1">
      <alignment horizontal="center" wrapText="1"/>
    </xf>
    <xf numFmtId="177" fontId="9" fillId="4" borderId="0" xfId="0" applyNumberFormat="1" applyFont="1" applyFill="1" applyBorder="1" applyAlignment="1">
      <alignment horizontal="center" wrapText="1"/>
    </xf>
    <xf numFmtId="169" fontId="9" fillId="4" borderId="0" xfId="0" applyNumberFormat="1" applyFont="1" applyFill="1" applyBorder="1" applyAlignment="1">
      <alignment horizontal="center" wrapText="1"/>
    </xf>
    <xf numFmtId="167" fontId="9" fillId="4" borderId="11" xfId="0" applyNumberFormat="1" applyFont="1" applyFill="1" applyBorder="1" applyAlignment="1">
      <alignment horizontal="center" wrapText="1"/>
    </xf>
    <xf numFmtId="167" fontId="9" fillId="4" borderId="0" xfId="0" applyNumberFormat="1" applyFont="1" applyFill="1" applyBorder="1" applyAlignment="1">
      <alignment horizontal="center" wrapText="1"/>
    </xf>
    <xf numFmtId="165" fontId="9" fillId="4" borderId="11" xfId="1" applyNumberFormat="1" applyFont="1" applyFill="1" applyBorder="1" applyAlignment="1">
      <alignment horizontal="center" wrapText="1"/>
    </xf>
    <xf numFmtId="167" fontId="9" fillId="4" borderId="11" xfId="1" applyNumberFormat="1" applyFont="1" applyFill="1" applyBorder="1" applyAlignment="1">
      <alignment horizontal="center" wrapText="1"/>
    </xf>
    <xf numFmtId="0" fontId="37" fillId="0" borderId="4" xfId="0" applyFont="1" applyBorder="1" applyAlignment="1">
      <alignment horizontal="center" vertical="center" wrapText="1"/>
    </xf>
    <xf numFmtId="0" fontId="0" fillId="0" borderId="10" xfId="0" applyBorder="1"/>
    <xf numFmtId="0" fontId="9" fillId="4" borderId="6" xfId="0" applyFont="1" applyFill="1" applyBorder="1"/>
    <xf numFmtId="0" fontId="9" fillId="4" borderId="0" xfId="0" applyFont="1" applyFill="1" applyBorder="1"/>
    <xf numFmtId="0" fontId="20" fillId="4" borderId="0" xfId="0" applyFont="1" applyFill="1" applyBorder="1" applyAlignment="1">
      <alignment horizontal="center"/>
    </xf>
    <xf numFmtId="0" fontId="8" fillId="4" borderId="0" xfId="0" applyFont="1" applyFill="1" applyBorder="1" applyAlignment="1">
      <alignment horizontal="center"/>
    </xf>
    <xf numFmtId="41" fontId="9" fillId="4" borderId="35" xfId="0" applyNumberFormat="1" applyFont="1" applyFill="1" applyBorder="1" applyAlignment="1">
      <alignment wrapText="1"/>
    </xf>
    <xf numFmtId="41" fontId="9" fillId="4" borderId="43" xfId="0" applyNumberFormat="1" applyFont="1" applyFill="1" applyBorder="1" applyAlignment="1">
      <alignment wrapText="1"/>
    </xf>
    <xf numFmtId="169" fontId="9" fillId="4" borderId="35" xfId="3" applyNumberFormat="1" applyFont="1" applyFill="1" applyBorder="1" applyAlignment="1">
      <alignment wrapText="1"/>
    </xf>
    <xf numFmtId="41" fontId="9" fillId="4" borderId="31" xfId="0" applyNumberFormat="1" applyFont="1" applyFill="1" applyBorder="1" applyAlignment="1">
      <alignment wrapText="1"/>
    </xf>
    <xf numFmtId="41" fontId="8" fillId="0" borderId="45" xfId="0" applyNumberFormat="1" applyFont="1" applyBorder="1" applyAlignment="1">
      <alignment wrapText="1"/>
    </xf>
    <xf numFmtId="169" fontId="22" fillId="10" borderId="35" xfId="0" applyNumberFormat="1" applyFont="1" applyFill="1" applyBorder="1" applyAlignment="1">
      <alignment horizontal="right" wrapText="1"/>
    </xf>
    <xf numFmtId="41" fontId="35" fillId="0" borderId="35" xfId="0" applyNumberFormat="1" applyFont="1" applyBorder="1"/>
    <xf numFmtId="41" fontId="8" fillId="8" borderId="35" xfId="0" applyNumberFormat="1" applyFont="1" applyFill="1" applyBorder="1" applyAlignment="1">
      <alignment horizontal="right" wrapText="1"/>
    </xf>
    <xf numFmtId="41" fontId="22" fillId="10" borderId="43" xfId="0" applyNumberFormat="1" applyFont="1" applyFill="1" applyBorder="1" applyAlignment="1">
      <alignment wrapText="1"/>
    </xf>
    <xf numFmtId="41" fontId="35" fillId="10" borderId="31" xfId="0" applyNumberFormat="1" applyFont="1" applyFill="1" applyBorder="1" applyAlignment="1">
      <alignment wrapText="1"/>
    </xf>
    <xf numFmtId="41" fontId="9" fillId="5" borderId="11" xfId="0" applyNumberFormat="1" applyFont="1" applyFill="1" applyBorder="1" applyAlignment="1">
      <alignment wrapText="1"/>
    </xf>
    <xf numFmtId="41" fontId="9" fillId="5" borderId="33" xfId="0" applyNumberFormat="1" applyFont="1" applyFill="1" applyBorder="1" applyAlignment="1">
      <alignment wrapText="1"/>
    </xf>
  </cellXfs>
  <cellStyles count="4">
    <cellStyle name="Comma" xfId="2" builtinId="3"/>
    <cellStyle name="Currency" xfId="3" builtinId="4"/>
    <cellStyle name="Normal" xfId="0" builtinId="0"/>
    <cellStyle name="Percent" xfId="1" builtinId="5"/>
  </cellStyles>
  <dxfs count="25">
    <dxf>
      <font>
        <color rgb="FF006100"/>
      </font>
      <fill>
        <patternFill>
          <bgColor rgb="FFC6EFCE"/>
        </patternFill>
      </fill>
    </dxf>
    <dxf>
      <font>
        <color rgb="FF9C0006"/>
      </font>
      <fill>
        <patternFill>
          <bgColor rgb="FFFFC7CE"/>
        </patternFill>
      </fill>
    </dxf>
    <dxf>
      <fill>
        <patternFill>
          <bgColor theme="0"/>
        </patternFill>
      </fill>
    </dxf>
    <dxf>
      <fill>
        <patternFill patternType="none">
          <bgColor auto="1"/>
        </patternFill>
      </fill>
    </dxf>
    <dxf>
      <fill>
        <patternFill>
          <bgColor theme="0" tint="-0.24994659260841701"/>
        </patternFill>
      </fill>
    </dxf>
    <dxf>
      <fill>
        <patternFill>
          <bgColor theme="0"/>
        </patternFill>
      </fill>
    </dxf>
    <dxf>
      <fill>
        <patternFill patternType="none">
          <bgColor auto="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theme="0"/>
        </patternFill>
      </fill>
    </dxf>
    <dxf>
      <fill>
        <patternFill patternType="none">
          <bgColor auto="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s>
  <tableStyles count="0" defaultTableStyle="TableStyleMedium2" defaultPivotStyle="PivotStyleLight16"/>
  <colors>
    <mruColors>
      <color rgb="FF0000FF"/>
      <color rgb="FF0000E1"/>
      <color rgb="FFFFEFEF"/>
      <color rgb="FFFFEBEB"/>
      <color rgb="FFFFAFAF"/>
      <color rgb="FFFEA8D3"/>
      <color rgb="FFFF4F4F"/>
      <color rgb="FFFF0000"/>
      <color rgb="FFFFF5F8"/>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BLDR</c:v>
          </c:tx>
          <c:spPr>
            <a:ln w="28575" cap="rnd">
              <a:solidFill>
                <a:srgbClr val="FFAFAF"/>
              </a:solidFill>
              <a:round/>
            </a:ln>
            <a:effectLst/>
          </c:spPr>
          <c:marker>
            <c:symbol val="none"/>
          </c:marker>
          <c:cat>
            <c:numRef>
              <c:f>Beta!$B$1555:$B$2980</c:f>
              <c:numCache>
                <c:formatCode>m/d/yyyy</c:formatCode>
                <c:ptCount val="1426"/>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pt idx="356">
                  <c:v>43620</c:v>
                </c:pt>
                <c:pt idx="357">
                  <c:v>43621</c:v>
                </c:pt>
                <c:pt idx="358">
                  <c:v>43622</c:v>
                </c:pt>
                <c:pt idx="359">
                  <c:v>43623</c:v>
                </c:pt>
                <c:pt idx="360">
                  <c:v>43626</c:v>
                </c:pt>
                <c:pt idx="361">
                  <c:v>43627</c:v>
                </c:pt>
                <c:pt idx="362">
                  <c:v>43628</c:v>
                </c:pt>
                <c:pt idx="363">
                  <c:v>43629</c:v>
                </c:pt>
                <c:pt idx="364">
                  <c:v>43630</c:v>
                </c:pt>
                <c:pt idx="365">
                  <c:v>43633</c:v>
                </c:pt>
                <c:pt idx="366">
                  <c:v>43634</c:v>
                </c:pt>
                <c:pt idx="367">
                  <c:v>43635</c:v>
                </c:pt>
                <c:pt idx="368">
                  <c:v>43636</c:v>
                </c:pt>
                <c:pt idx="369">
                  <c:v>43637</c:v>
                </c:pt>
                <c:pt idx="370">
                  <c:v>43640</c:v>
                </c:pt>
                <c:pt idx="371">
                  <c:v>43641</c:v>
                </c:pt>
                <c:pt idx="372">
                  <c:v>43642</c:v>
                </c:pt>
                <c:pt idx="373">
                  <c:v>43643</c:v>
                </c:pt>
                <c:pt idx="374">
                  <c:v>43644</c:v>
                </c:pt>
                <c:pt idx="375">
                  <c:v>43647</c:v>
                </c:pt>
                <c:pt idx="376">
                  <c:v>43648</c:v>
                </c:pt>
                <c:pt idx="377">
                  <c:v>43649</c:v>
                </c:pt>
                <c:pt idx="378">
                  <c:v>43651</c:v>
                </c:pt>
                <c:pt idx="379">
                  <c:v>43654</c:v>
                </c:pt>
                <c:pt idx="380">
                  <c:v>43655</c:v>
                </c:pt>
                <c:pt idx="381">
                  <c:v>43656</c:v>
                </c:pt>
                <c:pt idx="382">
                  <c:v>43657</c:v>
                </c:pt>
                <c:pt idx="383">
                  <c:v>43658</c:v>
                </c:pt>
                <c:pt idx="384">
                  <c:v>43661</c:v>
                </c:pt>
                <c:pt idx="385">
                  <c:v>43662</c:v>
                </c:pt>
                <c:pt idx="386">
                  <c:v>43663</c:v>
                </c:pt>
                <c:pt idx="387">
                  <c:v>43664</c:v>
                </c:pt>
                <c:pt idx="388">
                  <c:v>43665</c:v>
                </c:pt>
                <c:pt idx="389">
                  <c:v>43668</c:v>
                </c:pt>
                <c:pt idx="390">
                  <c:v>43669</c:v>
                </c:pt>
                <c:pt idx="391">
                  <c:v>43670</c:v>
                </c:pt>
                <c:pt idx="392">
                  <c:v>43671</c:v>
                </c:pt>
                <c:pt idx="393">
                  <c:v>43672</c:v>
                </c:pt>
                <c:pt idx="394">
                  <c:v>43675</c:v>
                </c:pt>
                <c:pt idx="395">
                  <c:v>43676</c:v>
                </c:pt>
                <c:pt idx="396">
                  <c:v>43677</c:v>
                </c:pt>
                <c:pt idx="397">
                  <c:v>43678</c:v>
                </c:pt>
                <c:pt idx="398">
                  <c:v>43679</c:v>
                </c:pt>
                <c:pt idx="399">
                  <c:v>43682</c:v>
                </c:pt>
                <c:pt idx="400">
                  <c:v>43683</c:v>
                </c:pt>
                <c:pt idx="401">
                  <c:v>43684</c:v>
                </c:pt>
                <c:pt idx="402">
                  <c:v>43685</c:v>
                </c:pt>
                <c:pt idx="403">
                  <c:v>43686</c:v>
                </c:pt>
                <c:pt idx="404">
                  <c:v>43689</c:v>
                </c:pt>
                <c:pt idx="405">
                  <c:v>43690</c:v>
                </c:pt>
                <c:pt idx="406">
                  <c:v>43691</c:v>
                </c:pt>
                <c:pt idx="407">
                  <c:v>43692</c:v>
                </c:pt>
                <c:pt idx="408">
                  <c:v>43693</c:v>
                </c:pt>
                <c:pt idx="409">
                  <c:v>43696</c:v>
                </c:pt>
                <c:pt idx="410">
                  <c:v>43697</c:v>
                </c:pt>
                <c:pt idx="411">
                  <c:v>43698</c:v>
                </c:pt>
                <c:pt idx="412">
                  <c:v>43699</c:v>
                </c:pt>
                <c:pt idx="413">
                  <c:v>43700</c:v>
                </c:pt>
                <c:pt idx="414">
                  <c:v>43703</c:v>
                </c:pt>
                <c:pt idx="415">
                  <c:v>43704</c:v>
                </c:pt>
                <c:pt idx="416">
                  <c:v>43705</c:v>
                </c:pt>
                <c:pt idx="417">
                  <c:v>43706</c:v>
                </c:pt>
                <c:pt idx="418">
                  <c:v>43707</c:v>
                </c:pt>
                <c:pt idx="419">
                  <c:v>43711</c:v>
                </c:pt>
                <c:pt idx="420">
                  <c:v>43712</c:v>
                </c:pt>
                <c:pt idx="421">
                  <c:v>43713</c:v>
                </c:pt>
                <c:pt idx="422">
                  <c:v>43714</c:v>
                </c:pt>
                <c:pt idx="423">
                  <c:v>43717</c:v>
                </c:pt>
                <c:pt idx="424">
                  <c:v>43718</c:v>
                </c:pt>
                <c:pt idx="425">
                  <c:v>43719</c:v>
                </c:pt>
                <c:pt idx="426">
                  <c:v>43720</c:v>
                </c:pt>
                <c:pt idx="427">
                  <c:v>43721</c:v>
                </c:pt>
                <c:pt idx="428">
                  <c:v>43724</c:v>
                </c:pt>
                <c:pt idx="429">
                  <c:v>43725</c:v>
                </c:pt>
                <c:pt idx="430">
                  <c:v>43726</c:v>
                </c:pt>
                <c:pt idx="431">
                  <c:v>43727</c:v>
                </c:pt>
                <c:pt idx="432">
                  <c:v>43728</c:v>
                </c:pt>
                <c:pt idx="433">
                  <c:v>43731</c:v>
                </c:pt>
                <c:pt idx="434">
                  <c:v>43732</c:v>
                </c:pt>
                <c:pt idx="435">
                  <c:v>43733</c:v>
                </c:pt>
                <c:pt idx="436">
                  <c:v>43734</c:v>
                </c:pt>
                <c:pt idx="437">
                  <c:v>43735</c:v>
                </c:pt>
                <c:pt idx="438">
                  <c:v>43738</c:v>
                </c:pt>
                <c:pt idx="439">
                  <c:v>43739</c:v>
                </c:pt>
                <c:pt idx="440">
                  <c:v>43740</c:v>
                </c:pt>
                <c:pt idx="441">
                  <c:v>43741</c:v>
                </c:pt>
                <c:pt idx="442">
                  <c:v>43742</c:v>
                </c:pt>
                <c:pt idx="443">
                  <c:v>43745</c:v>
                </c:pt>
                <c:pt idx="444">
                  <c:v>43746</c:v>
                </c:pt>
                <c:pt idx="445">
                  <c:v>43747</c:v>
                </c:pt>
                <c:pt idx="446">
                  <c:v>43748</c:v>
                </c:pt>
                <c:pt idx="447">
                  <c:v>43749</c:v>
                </c:pt>
                <c:pt idx="448">
                  <c:v>43752</c:v>
                </c:pt>
                <c:pt idx="449">
                  <c:v>43753</c:v>
                </c:pt>
                <c:pt idx="450">
                  <c:v>43754</c:v>
                </c:pt>
                <c:pt idx="451">
                  <c:v>43755</c:v>
                </c:pt>
                <c:pt idx="452">
                  <c:v>43756</c:v>
                </c:pt>
                <c:pt idx="453">
                  <c:v>43759</c:v>
                </c:pt>
                <c:pt idx="454">
                  <c:v>43760</c:v>
                </c:pt>
                <c:pt idx="455">
                  <c:v>43761</c:v>
                </c:pt>
                <c:pt idx="456">
                  <c:v>43762</c:v>
                </c:pt>
                <c:pt idx="457">
                  <c:v>43763</c:v>
                </c:pt>
                <c:pt idx="458">
                  <c:v>43766</c:v>
                </c:pt>
                <c:pt idx="459">
                  <c:v>43767</c:v>
                </c:pt>
                <c:pt idx="460">
                  <c:v>43768</c:v>
                </c:pt>
                <c:pt idx="461">
                  <c:v>43769</c:v>
                </c:pt>
                <c:pt idx="462">
                  <c:v>43770</c:v>
                </c:pt>
                <c:pt idx="463">
                  <c:v>43773</c:v>
                </c:pt>
                <c:pt idx="464">
                  <c:v>43774</c:v>
                </c:pt>
                <c:pt idx="465">
                  <c:v>43775</c:v>
                </c:pt>
                <c:pt idx="466">
                  <c:v>43776</c:v>
                </c:pt>
                <c:pt idx="467">
                  <c:v>43777</c:v>
                </c:pt>
                <c:pt idx="468">
                  <c:v>43780</c:v>
                </c:pt>
                <c:pt idx="469">
                  <c:v>43781</c:v>
                </c:pt>
                <c:pt idx="470">
                  <c:v>43782</c:v>
                </c:pt>
                <c:pt idx="471">
                  <c:v>43783</c:v>
                </c:pt>
                <c:pt idx="472">
                  <c:v>43784</c:v>
                </c:pt>
                <c:pt idx="473">
                  <c:v>43787</c:v>
                </c:pt>
                <c:pt idx="474">
                  <c:v>43788</c:v>
                </c:pt>
                <c:pt idx="475">
                  <c:v>43789</c:v>
                </c:pt>
                <c:pt idx="476">
                  <c:v>43790</c:v>
                </c:pt>
                <c:pt idx="477">
                  <c:v>43791</c:v>
                </c:pt>
                <c:pt idx="478">
                  <c:v>43794</c:v>
                </c:pt>
                <c:pt idx="479">
                  <c:v>43795</c:v>
                </c:pt>
                <c:pt idx="480">
                  <c:v>43796</c:v>
                </c:pt>
                <c:pt idx="481">
                  <c:v>43798</c:v>
                </c:pt>
                <c:pt idx="482">
                  <c:v>43801</c:v>
                </c:pt>
                <c:pt idx="483">
                  <c:v>43802</c:v>
                </c:pt>
                <c:pt idx="484">
                  <c:v>43803</c:v>
                </c:pt>
                <c:pt idx="485">
                  <c:v>43804</c:v>
                </c:pt>
                <c:pt idx="486">
                  <c:v>43805</c:v>
                </c:pt>
                <c:pt idx="487">
                  <c:v>43808</c:v>
                </c:pt>
                <c:pt idx="488">
                  <c:v>43809</c:v>
                </c:pt>
                <c:pt idx="489">
                  <c:v>43810</c:v>
                </c:pt>
                <c:pt idx="490">
                  <c:v>43811</c:v>
                </c:pt>
                <c:pt idx="491">
                  <c:v>43812</c:v>
                </c:pt>
                <c:pt idx="492">
                  <c:v>43815</c:v>
                </c:pt>
                <c:pt idx="493">
                  <c:v>43816</c:v>
                </c:pt>
                <c:pt idx="494">
                  <c:v>43817</c:v>
                </c:pt>
                <c:pt idx="495">
                  <c:v>43818</c:v>
                </c:pt>
                <c:pt idx="496">
                  <c:v>43819</c:v>
                </c:pt>
                <c:pt idx="497">
                  <c:v>43822</c:v>
                </c:pt>
                <c:pt idx="498">
                  <c:v>43823</c:v>
                </c:pt>
                <c:pt idx="499">
                  <c:v>43825</c:v>
                </c:pt>
                <c:pt idx="500">
                  <c:v>43826</c:v>
                </c:pt>
                <c:pt idx="501">
                  <c:v>43829</c:v>
                </c:pt>
                <c:pt idx="502">
                  <c:v>43830</c:v>
                </c:pt>
                <c:pt idx="503">
                  <c:v>43832</c:v>
                </c:pt>
                <c:pt idx="504">
                  <c:v>43833</c:v>
                </c:pt>
                <c:pt idx="505">
                  <c:v>43836</c:v>
                </c:pt>
                <c:pt idx="506">
                  <c:v>43837</c:v>
                </c:pt>
                <c:pt idx="507">
                  <c:v>43838</c:v>
                </c:pt>
                <c:pt idx="508">
                  <c:v>43839</c:v>
                </c:pt>
                <c:pt idx="509">
                  <c:v>43840</c:v>
                </c:pt>
                <c:pt idx="510">
                  <c:v>43843</c:v>
                </c:pt>
                <c:pt idx="511">
                  <c:v>43844</c:v>
                </c:pt>
                <c:pt idx="512">
                  <c:v>43845</c:v>
                </c:pt>
                <c:pt idx="513">
                  <c:v>43846</c:v>
                </c:pt>
                <c:pt idx="514">
                  <c:v>43847</c:v>
                </c:pt>
                <c:pt idx="515">
                  <c:v>43851</c:v>
                </c:pt>
                <c:pt idx="516">
                  <c:v>43852</c:v>
                </c:pt>
                <c:pt idx="517">
                  <c:v>43853</c:v>
                </c:pt>
                <c:pt idx="518">
                  <c:v>43854</c:v>
                </c:pt>
                <c:pt idx="519">
                  <c:v>43857</c:v>
                </c:pt>
                <c:pt idx="520">
                  <c:v>43858</c:v>
                </c:pt>
                <c:pt idx="521">
                  <c:v>43859</c:v>
                </c:pt>
                <c:pt idx="522">
                  <c:v>43860</c:v>
                </c:pt>
                <c:pt idx="523">
                  <c:v>43861</c:v>
                </c:pt>
                <c:pt idx="524">
                  <c:v>43864</c:v>
                </c:pt>
                <c:pt idx="525">
                  <c:v>43865</c:v>
                </c:pt>
                <c:pt idx="526">
                  <c:v>43866</c:v>
                </c:pt>
                <c:pt idx="527">
                  <c:v>43867</c:v>
                </c:pt>
                <c:pt idx="528">
                  <c:v>43868</c:v>
                </c:pt>
                <c:pt idx="529">
                  <c:v>43871</c:v>
                </c:pt>
                <c:pt idx="530">
                  <c:v>43872</c:v>
                </c:pt>
                <c:pt idx="531">
                  <c:v>43873</c:v>
                </c:pt>
                <c:pt idx="532">
                  <c:v>43874</c:v>
                </c:pt>
                <c:pt idx="533">
                  <c:v>43875</c:v>
                </c:pt>
                <c:pt idx="534">
                  <c:v>43879</c:v>
                </c:pt>
                <c:pt idx="535">
                  <c:v>43880</c:v>
                </c:pt>
                <c:pt idx="536">
                  <c:v>43881</c:v>
                </c:pt>
                <c:pt idx="537">
                  <c:v>43882</c:v>
                </c:pt>
                <c:pt idx="538">
                  <c:v>43885</c:v>
                </c:pt>
                <c:pt idx="539">
                  <c:v>43886</c:v>
                </c:pt>
                <c:pt idx="540">
                  <c:v>43887</c:v>
                </c:pt>
                <c:pt idx="541">
                  <c:v>43888</c:v>
                </c:pt>
                <c:pt idx="542">
                  <c:v>43889</c:v>
                </c:pt>
                <c:pt idx="543">
                  <c:v>43892</c:v>
                </c:pt>
                <c:pt idx="544">
                  <c:v>43893</c:v>
                </c:pt>
                <c:pt idx="545">
                  <c:v>43894</c:v>
                </c:pt>
                <c:pt idx="546">
                  <c:v>43895</c:v>
                </c:pt>
                <c:pt idx="547">
                  <c:v>43896</c:v>
                </c:pt>
                <c:pt idx="548">
                  <c:v>43899</c:v>
                </c:pt>
                <c:pt idx="549">
                  <c:v>43900</c:v>
                </c:pt>
                <c:pt idx="550">
                  <c:v>43901</c:v>
                </c:pt>
                <c:pt idx="551">
                  <c:v>43902</c:v>
                </c:pt>
                <c:pt idx="552">
                  <c:v>43903</c:v>
                </c:pt>
                <c:pt idx="553">
                  <c:v>43906</c:v>
                </c:pt>
                <c:pt idx="554">
                  <c:v>43907</c:v>
                </c:pt>
                <c:pt idx="555">
                  <c:v>43908</c:v>
                </c:pt>
                <c:pt idx="556">
                  <c:v>43909</c:v>
                </c:pt>
                <c:pt idx="557">
                  <c:v>43910</c:v>
                </c:pt>
                <c:pt idx="558">
                  <c:v>43913</c:v>
                </c:pt>
                <c:pt idx="559">
                  <c:v>43914</c:v>
                </c:pt>
                <c:pt idx="560">
                  <c:v>43915</c:v>
                </c:pt>
                <c:pt idx="561">
                  <c:v>43916</c:v>
                </c:pt>
                <c:pt idx="562">
                  <c:v>43917</c:v>
                </c:pt>
                <c:pt idx="563">
                  <c:v>43920</c:v>
                </c:pt>
                <c:pt idx="564">
                  <c:v>43921</c:v>
                </c:pt>
                <c:pt idx="565">
                  <c:v>43922</c:v>
                </c:pt>
                <c:pt idx="566">
                  <c:v>43923</c:v>
                </c:pt>
                <c:pt idx="567">
                  <c:v>43924</c:v>
                </c:pt>
                <c:pt idx="568">
                  <c:v>43927</c:v>
                </c:pt>
                <c:pt idx="569">
                  <c:v>43928</c:v>
                </c:pt>
                <c:pt idx="570">
                  <c:v>43929</c:v>
                </c:pt>
                <c:pt idx="571">
                  <c:v>43930</c:v>
                </c:pt>
                <c:pt idx="572">
                  <c:v>43934</c:v>
                </c:pt>
                <c:pt idx="573">
                  <c:v>43935</c:v>
                </c:pt>
                <c:pt idx="574">
                  <c:v>43936</c:v>
                </c:pt>
                <c:pt idx="575">
                  <c:v>43937</c:v>
                </c:pt>
                <c:pt idx="576">
                  <c:v>43938</c:v>
                </c:pt>
                <c:pt idx="577">
                  <c:v>43941</c:v>
                </c:pt>
                <c:pt idx="578">
                  <c:v>43942</c:v>
                </c:pt>
                <c:pt idx="579">
                  <c:v>43943</c:v>
                </c:pt>
                <c:pt idx="580">
                  <c:v>43944</c:v>
                </c:pt>
                <c:pt idx="581">
                  <c:v>43945</c:v>
                </c:pt>
                <c:pt idx="582">
                  <c:v>43948</c:v>
                </c:pt>
                <c:pt idx="583">
                  <c:v>43949</c:v>
                </c:pt>
                <c:pt idx="584">
                  <c:v>43950</c:v>
                </c:pt>
                <c:pt idx="585">
                  <c:v>43951</c:v>
                </c:pt>
                <c:pt idx="586">
                  <c:v>43952</c:v>
                </c:pt>
                <c:pt idx="587">
                  <c:v>43955</c:v>
                </c:pt>
                <c:pt idx="588">
                  <c:v>43956</c:v>
                </c:pt>
                <c:pt idx="589">
                  <c:v>43957</c:v>
                </c:pt>
                <c:pt idx="590">
                  <c:v>43958</c:v>
                </c:pt>
                <c:pt idx="591">
                  <c:v>43959</c:v>
                </c:pt>
                <c:pt idx="592">
                  <c:v>43962</c:v>
                </c:pt>
                <c:pt idx="593">
                  <c:v>43963</c:v>
                </c:pt>
                <c:pt idx="594">
                  <c:v>43964</c:v>
                </c:pt>
                <c:pt idx="595">
                  <c:v>43965</c:v>
                </c:pt>
                <c:pt idx="596">
                  <c:v>43966</c:v>
                </c:pt>
                <c:pt idx="597">
                  <c:v>43969</c:v>
                </c:pt>
                <c:pt idx="598">
                  <c:v>43970</c:v>
                </c:pt>
                <c:pt idx="599">
                  <c:v>43971</c:v>
                </c:pt>
                <c:pt idx="600">
                  <c:v>43972</c:v>
                </c:pt>
                <c:pt idx="601">
                  <c:v>43973</c:v>
                </c:pt>
                <c:pt idx="602">
                  <c:v>43977</c:v>
                </c:pt>
                <c:pt idx="603">
                  <c:v>43978</c:v>
                </c:pt>
                <c:pt idx="604">
                  <c:v>43979</c:v>
                </c:pt>
                <c:pt idx="605">
                  <c:v>43980</c:v>
                </c:pt>
                <c:pt idx="606">
                  <c:v>43983</c:v>
                </c:pt>
                <c:pt idx="607">
                  <c:v>43984</c:v>
                </c:pt>
                <c:pt idx="608">
                  <c:v>43985</c:v>
                </c:pt>
                <c:pt idx="609">
                  <c:v>43986</c:v>
                </c:pt>
                <c:pt idx="610">
                  <c:v>43987</c:v>
                </c:pt>
                <c:pt idx="611">
                  <c:v>43990</c:v>
                </c:pt>
                <c:pt idx="612">
                  <c:v>43991</c:v>
                </c:pt>
                <c:pt idx="613">
                  <c:v>43992</c:v>
                </c:pt>
                <c:pt idx="614">
                  <c:v>43993</c:v>
                </c:pt>
                <c:pt idx="615">
                  <c:v>43994</c:v>
                </c:pt>
                <c:pt idx="616">
                  <c:v>43997</c:v>
                </c:pt>
                <c:pt idx="617">
                  <c:v>43998</c:v>
                </c:pt>
                <c:pt idx="618">
                  <c:v>43999</c:v>
                </c:pt>
                <c:pt idx="619">
                  <c:v>44000</c:v>
                </c:pt>
                <c:pt idx="620">
                  <c:v>44001</c:v>
                </c:pt>
                <c:pt idx="621">
                  <c:v>44004</c:v>
                </c:pt>
                <c:pt idx="622">
                  <c:v>44005</c:v>
                </c:pt>
                <c:pt idx="623">
                  <c:v>44006</c:v>
                </c:pt>
                <c:pt idx="624">
                  <c:v>44007</c:v>
                </c:pt>
                <c:pt idx="625">
                  <c:v>44008</c:v>
                </c:pt>
                <c:pt idx="626">
                  <c:v>44011</c:v>
                </c:pt>
                <c:pt idx="627">
                  <c:v>44012</c:v>
                </c:pt>
                <c:pt idx="628">
                  <c:v>44013</c:v>
                </c:pt>
                <c:pt idx="629">
                  <c:v>44014</c:v>
                </c:pt>
                <c:pt idx="630">
                  <c:v>44018</c:v>
                </c:pt>
                <c:pt idx="631">
                  <c:v>44019</c:v>
                </c:pt>
                <c:pt idx="632">
                  <c:v>44020</c:v>
                </c:pt>
                <c:pt idx="633">
                  <c:v>44021</c:v>
                </c:pt>
                <c:pt idx="634">
                  <c:v>44022</c:v>
                </c:pt>
                <c:pt idx="635">
                  <c:v>44025</c:v>
                </c:pt>
                <c:pt idx="636">
                  <c:v>44026</c:v>
                </c:pt>
                <c:pt idx="637">
                  <c:v>44027</c:v>
                </c:pt>
                <c:pt idx="638">
                  <c:v>44028</c:v>
                </c:pt>
                <c:pt idx="639">
                  <c:v>44029</c:v>
                </c:pt>
                <c:pt idx="640">
                  <c:v>44032</c:v>
                </c:pt>
                <c:pt idx="641">
                  <c:v>44033</c:v>
                </c:pt>
                <c:pt idx="642">
                  <c:v>44034</c:v>
                </c:pt>
                <c:pt idx="643">
                  <c:v>44035</c:v>
                </c:pt>
                <c:pt idx="644">
                  <c:v>44036</c:v>
                </c:pt>
                <c:pt idx="645">
                  <c:v>44039</c:v>
                </c:pt>
                <c:pt idx="646">
                  <c:v>44040</c:v>
                </c:pt>
                <c:pt idx="647">
                  <c:v>44041</c:v>
                </c:pt>
                <c:pt idx="648">
                  <c:v>44042</c:v>
                </c:pt>
                <c:pt idx="649">
                  <c:v>44043</c:v>
                </c:pt>
                <c:pt idx="650">
                  <c:v>44046</c:v>
                </c:pt>
                <c:pt idx="651">
                  <c:v>44047</c:v>
                </c:pt>
                <c:pt idx="652">
                  <c:v>44048</c:v>
                </c:pt>
                <c:pt idx="653">
                  <c:v>44049</c:v>
                </c:pt>
                <c:pt idx="654">
                  <c:v>44050</c:v>
                </c:pt>
                <c:pt idx="655">
                  <c:v>44053</c:v>
                </c:pt>
                <c:pt idx="656">
                  <c:v>44054</c:v>
                </c:pt>
                <c:pt idx="657">
                  <c:v>44055</c:v>
                </c:pt>
                <c:pt idx="658">
                  <c:v>44056</c:v>
                </c:pt>
                <c:pt idx="659">
                  <c:v>44057</c:v>
                </c:pt>
                <c:pt idx="660">
                  <c:v>44060</c:v>
                </c:pt>
                <c:pt idx="661">
                  <c:v>44061</c:v>
                </c:pt>
                <c:pt idx="662">
                  <c:v>44062</c:v>
                </c:pt>
                <c:pt idx="663">
                  <c:v>44063</c:v>
                </c:pt>
                <c:pt idx="664">
                  <c:v>44064</c:v>
                </c:pt>
                <c:pt idx="665">
                  <c:v>44067</c:v>
                </c:pt>
                <c:pt idx="666">
                  <c:v>44068</c:v>
                </c:pt>
                <c:pt idx="667">
                  <c:v>44069</c:v>
                </c:pt>
                <c:pt idx="668">
                  <c:v>44070</c:v>
                </c:pt>
                <c:pt idx="669">
                  <c:v>44071</c:v>
                </c:pt>
                <c:pt idx="670">
                  <c:v>44074</c:v>
                </c:pt>
                <c:pt idx="671">
                  <c:v>44075</c:v>
                </c:pt>
                <c:pt idx="672">
                  <c:v>44076</c:v>
                </c:pt>
                <c:pt idx="673">
                  <c:v>44077</c:v>
                </c:pt>
                <c:pt idx="674">
                  <c:v>44078</c:v>
                </c:pt>
                <c:pt idx="675">
                  <c:v>44082</c:v>
                </c:pt>
                <c:pt idx="676">
                  <c:v>44083</c:v>
                </c:pt>
                <c:pt idx="677">
                  <c:v>44084</c:v>
                </c:pt>
                <c:pt idx="678">
                  <c:v>44085</c:v>
                </c:pt>
                <c:pt idx="679">
                  <c:v>44088</c:v>
                </c:pt>
                <c:pt idx="680">
                  <c:v>44089</c:v>
                </c:pt>
                <c:pt idx="681">
                  <c:v>44090</c:v>
                </c:pt>
                <c:pt idx="682">
                  <c:v>44091</c:v>
                </c:pt>
                <c:pt idx="683">
                  <c:v>44092</c:v>
                </c:pt>
                <c:pt idx="684">
                  <c:v>44095</c:v>
                </c:pt>
                <c:pt idx="685">
                  <c:v>44096</c:v>
                </c:pt>
                <c:pt idx="686">
                  <c:v>44097</c:v>
                </c:pt>
                <c:pt idx="687">
                  <c:v>44098</c:v>
                </c:pt>
                <c:pt idx="688">
                  <c:v>44099</c:v>
                </c:pt>
                <c:pt idx="689">
                  <c:v>44102</c:v>
                </c:pt>
                <c:pt idx="690">
                  <c:v>44103</c:v>
                </c:pt>
                <c:pt idx="691">
                  <c:v>44104</c:v>
                </c:pt>
                <c:pt idx="692">
                  <c:v>44105</c:v>
                </c:pt>
                <c:pt idx="693">
                  <c:v>44106</c:v>
                </c:pt>
                <c:pt idx="694">
                  <c:v>44109</c:v>
                </c:pt>
                <c:pt idx="695">
                  <c:v>44110</c:v>
                </c:pt>
                <c:pt idx="696">
                  <c:v>44111</c:v>
                </c:pt>
                <c:pt idx="697">
                  <c:v>44112</c:v>
                </c:pt>
                <c:pt idx="698">
                  <c:v>44113</c:v>
                </c:pt>
                <c:pt idx="699">
                  <c:v>44116</c:v>
                </c:pt>
                <c:pt idx="700">
                  <c:v>44117</c:v>
                </c:pt>
                <c:pt idx="701">
                  <c:v>44118</c:v>
                </c:pt>
                <c:pt idx="702">
                  <c:v>44119</c:v>
                </c:pt>
                <c:pt idx="703">
                  <c:v>44120</c:v>
                </c:pt>
                <c:pt idx="704">
                  <c:v>44123</c:v>
                </c:pt>
                <c:pt idx="705">
                  <c:v>44124</c:v>
                </c:pt>
                <c:pt idx="706">
                  <c:v>44125</c:v>
                </c:pt>
                <c:pt idx="707">
                  <c:v>44126</c:v>
                </c:pt>
                <c:pt idx="708">
                  <c:v>44127</c:v>
                </c:pt>
                <c:pt idx="709">
                  <c:v>44130</c:v>
                </c:pt>
                <c:pt idx="710">
                  <c:v>44131</c:v>
                </c:pt>
                <c:pt idx="711">
                  <c:v>44132</c:v>
                </c:pt>
                <c:pt idx="712">
                  <c:v>44133</c:v>
                </c:pt>
                <c:pt idx="713">
                  <c:v>44134</c:v>
                </c:pt>
                <c:pt idx="714">
                  <c:v>44137</c:v>
                </c:pt>
                <c:pt idx="715">
                  <c:v>44138</c:v>
                </c:pt>
                <c:pt idx="716">
                  <c:v>44139</c:v>
                </c:pt>
                <c:pt idx="717">
                  <c:v>44140</c:v>
                </c:pt>
                <c:pt idx="718">
                  <c:v>44141</c:v>
                </c:pt>
                <c:pt idx="719">
                  <c:v>44144</c:v>
                </c:pt>
                <c:pt idx="720">
                  <c:v>44145</c:v>
                </c:pt>
                <c:pt idx="721">
                  <c:v>44146</c:v>
                </c:pt>
                <c:pt idx="722">
                  <c:v>44147</c:v>
                </c:pt>
                <c:pt idx="723">
                  <c:v>44148</c:v>
                </c:pt>
                <c:pt idx="724">
                  <c:v>44151</c:v>
                </c:pt>
                <c:pt idx="725">
                  <c:v>44152</c:v>
                </c:pt>
                <c:pt idx="726">
                  <c:v>44153</c:v>
                </c:pt>
                <c:pt idx="727">
                  <c:v>44154</c:v>
                </c:pt>
                <c:pt idx="728">
                  <c:v>44155</c:v>
                </c:pt>
                <c:pt idx="729">
                  <c:v>44158</c:v>
                </c:pt>
                <c:pt idx="730">
                  <c:v>44159</c:v>
                </c:pt>
                <c:pt idx="731">
                  <c:v>44160</c:v>
                </c:pt>
                <c:pt idx="732">
                  <c:v>44162</c:v>
                </c:pt>
                <c:pt idx="733">
                  <c:v>44165</c:v>
                </c:pt>
                <c:pt idx="734">
                  <c:v>44166</c:v>
                </c:pt>
                <c:pt idx="735">
                  <c:v>44167</c:v>
                </c:pt>
                <c:pt idx="736">
                  <c:v>44168</c:v>
                </c:pt>
                <c:pt idx="737">
                  <c:v>44169</c:v>
                </c:pt>
                <c:pt idx="738">
                  <c:v>44172</c:v>
                </c:pt>
                <c:pt idx="739">
                  <c:v>44173</c:v>
                </c:pt>
                <c:pt idx="740">
                  <c:v>44174</c:v>
                </c:pt>
                <c:pt idx="741">
                  <c:v>44175</c:v>
                </c:pt>
                <c:pt idx="742">
                  <c:v>44176</c:v>
                </c:pt>
                <c:pt idx="743">
                  <c:v>44179</c:v>
                </c:pt>
                <c:pt idx="744">
                  <c:v>44180</c:v>
                </c:pt>
                <c:pt idx="745">
                  <c:v>44181</c:v>
                </c:pt>
                <c:pt idx="746">
                  <c:v>44182</c:v>
                </c:pt>
                <c:pt idx="747">
                  <c:v>44183</c:v>
                </c:pt>
                <c:pt idx="748">
                  <c:v>44186</c:v>
                </c:pt>
                <c:pt idx="749">
                  <c:v>44187</c:v>
                </c:pt>
                <c:pt idx="750">
                  <c:v>44188</c:v>
                </c:pt>
                <c:pt idx="751">
                  <c:v>44189</c:v>
                </c:pt>
                <c:pt idx="752">
                  <c:v>44193</c:v>
                </c:pt>
                <c:pt idx="753">
                  <c:v>44194</c:v>
                </c:pt>
                <c:pt idx="754">
                  <c:v>44195</c:v>
                </c:pt>
                <c:pt idx="755">
                  <c:v>44196</c:v>
                </c:pt>
                <c:pt idx="756">
                  <c:v>44200</c:v>
                </c:pt>
                <c:pt idx="757">
                  <c:v>44201</c:v>
                </c:pt>
                <c:pt idx="758">
                  <c:v>44202</c:v>
                </c:pt>
                <c:pt idx="759">
                  <c:v>44203</c:v>
                </c:pt>
                <c:pt idx="760">
                  <c:v>44204</c:v>
                </c:pt>
                <c:pt idx="761">
                  <c:v>44207</c:v>
                </c:pt>
                <c:pt idx="762">
                  <c:v>44208</c:v>
                </c:pt>
                <c:pt idx="763">
                  <c:v>44209</c:v>
                </c:pt>
                <c:pt idx="764">
                  <c:v>44210</c:v>
                </c:pt>
                <c:pt idx="765">
                  <c:v>44211</c:v>
                </c:pt>
                <c:pt idx="766">
                  <c:v>44215</c:v>
                </c:pt>
                <c:pt idx="767">
                  <c:v>44216</c:v>
                </c:pt>
                <c:pt idx="768">
                  <c:v>44217</c:v>
                </c:pt>
                <c:pt idx="769">
                  <c:v>44218</c:v>
                </c:pt>
                <c:pt idx="770">
                  <c:v>44221</c:v>
                </c:pt>
                <c:pt idx="771">
                  <c:v>44222</c:v>
                </c:pt>
                <c:pt idx="772">
                  <c:v>44223</c:v>
                </c:pt>
                <c:pt idx="773">
                  <c:v>44224</c:v>
                </c:pt>
                <c:pt idx="774">
                  <c:v>44225</c:v>
                </c:pt>
                <c:pt idx="775">
                  <c:v>44228</c:v>
                </c:pt>
                <c:pt idx="776">
                  <c:v>44229</c:v>
                </c:pt>
                <c:pt idx="777">
                  <c:v>44230</c:v>
                </c:pt>
                <c:pt idx="778">
                  <c:v>44231</c:v>
                </c:pt>
                <c:pt idx="779">
                  <c:v>44232</c:v>
                </c:pt>
                <c:pt idx="780">
                  <c:v>44235</c:v>
                </c:pt>
                <c:pt idx="781">
                  <c:v>44236</c:v>
                </c:pt>
                <c:pt idx="782">
                  <c:v>44237</c:v>
                </c:pt>
                <c:pt idx="783">
                  <c:v>44238</c:v>
                </c:pt>
                <c:pt idx="784">
                  <c:v>44239</c:v>
                </c:pt>
                <c:pt idx="785">
                  <c:v>44243</c:v>
                </c:pt>
                <c:pt idx="786">
                  <c:v>44244</c:v>
                </c:pt>
                <c:pt idx="787">
                  <c:v>44245</c:v>
                </c:pt>
                <c:pt idx="788">
                  <c:v>44246</c:v>
                </c:pt>
                <c:pt idx="789">
                  <c:v>44249</c:v>
                </c:pt>
                <c:pt idx="790">
                  <c:v>44250</c:v>
                </c:pt>
                <c:pt idx="791">
                  <c:v>44251</c:v>
                </c:pt>
                <c:pt idx="792">
                  <c:v>44252</c:v>
                </c:pt>
                <c:pt idx="793">
                  <c:v>44253</c:v>
                </c:pt>
                <c:pt idx="794">
                  <c:v>44256</c:v>
                </c:pt>
                <c:pt idx="795">
                  <c:v>44257</c:v>
                </c:pt>
                <c:pt idx="796">
                  <c:v>44258</c:v>
                </c:pt>
                <c:pt idx="797">
                  <c:v>44259</c:v>
                </c:pt>
                <c:pt idx="798">
                  <c:v>44260</c:v>
                </c:pt>
                <c:pt idx="799">
                  <c:v>44263</c:v>
                </c:pt>
                <c:pt idx="800">
                  <c:v>44264</c:v>
                </c:pt>
                <c:pt idx="801">
                  <c:v>44265</c:v>
                </c:pt>
                <c:pt idx="802">
                  <c:v>44266</c:v>
                </c:pt>
                <c:pt idx="803">
                  <c:v>44267</c:v>
                </c:pt>
                <c:pt idx="804">
                  <c:v>44270</c:v>
                </c:pt>
                <c:pt idx="805">
                  <c:v>44271</c:v>
                </c:pt>
                <c:pt idx="806">
                  <c:v>44272</c:v>
                </c:pt>
                <c:pt idx="807">
                  <c:v>44273</c:v>
                </c:pt>
                <c:pt idx="808">
                  <c:v>44274</c:v>
                </c:pt>
                <c:pt idx="809">
                  <c:v>44277</c:v>
                </c:pt>
                <c:pt idx="810">
                  <c:v>44278</c:v>
                </c:pt>
                <c:pt idx="811">
                  <c:v>44279</c:v>
                </c:pt>
                <c:pt idx="812">
                  <c:v>44280</c:v>
                </c:pt>
                <c:pt idx="813">
                  <c:v>44281</c:v>
                </c:pt>
                <c:pt idx="814">
                  <c:v>44284</c:v>
                </c:pt>
                <c:pt idx="815">
                  <c:v>44285</c:v>
                </c:pt>
                <c:pt idx="816">
                  <c:v>44286</c:v>
                </c:pt>
                <c:pt idx="817">
                  <c:v>44287</c:v>
                </c:pt>
                <c:pt idx="818">
                  <c:v>44291</c:v>
                </c:pt>
                <c:pt idx="819">
                  <c:v>44292</c:v>
                </c:pt>
                <c:pt idx="820">
                  <c:v>44293</c:v>
                </c:pt>
                <c:pt idx="821">
                  <c:v>44294</c:v>
                </c:pt>
                <c:pt idx="822">
                  <c:v>44295</c:v>
                </c:pt>
                <c:pt idx="823">
                  <c:v>44298</c:v>
                </c:pt>
                <c:pt idx="824">
                  <c:v>44299</c:v>
                </c:pt>
                <c:pt idx="825">
                  <c:v>44300</c:v>
                </c:pt>
                <c:pt idx="826">
                  <c:v>44301</c:v>
                </c:pt>
                <c:pt idx="827">
                  <c:v>44302</c:v>
                </c:pt>
                <c:pt idx="828">
                  <c:v>44305</c:v>
                </c:pt>
                <c:pt idx="829">
                  <c:v>44306</c:v>
                </c:pt>
                <c:pt idx="830">
                  <c:v>44307</c:v>
                </c:pt>
                <c:pt idx="831">
                  <c:v>44308</c:v>
                </c:pt>
                <c:pt idx="832">
                  <c:v>44309</c:v>
                </c:pt>
                <c:pt idx="833">
                  <c:v>44312</c:v>
                </c:pt>
                <c:pt idx="834">
                  <c:v>44313</c:v>
                </c:pt>
                <c:pt idx="835">
                  <c:v>44314</c:v>
                </c:pt>
                <c:pt idx="836">
                  <c:v>44315</c:v>
                </c:pt>
                <c:pt idx="837">
                  <c:v>44316</c:v>
                </c:pt>
                <c:pt idx="838">
                  <c:v>44319</c:v>
                </c:pt>
                <c:pt idx="839">
                  <c:v>44320</c:v>
                </c:pt>
                <c:pt idx="840">
                  <c:v>44321</c:v>
                </c:pt>
                <c:pt idx="841">
                  <c:v>44322</c:v>
                </c:pt>
                <c:pt idx="842">
                  <c:v>44323</c:v>
                </c:pt>
                <c:pt idx="843">
                  <c:v>44326</c:v>
                </c:pt>
                <c:pt idx="844">
                  <c:v>44327</c:v>
                </c:pt>
                <c:pt idx="845">
                  <c:v>44328</c:v>
                </c:pt>
                <c:pt idx="846">
                  <c:v>44329</c:v>
                </c:pt>
                <c:pt idx="847">
                  <c:v>44330</c:v>
                </c:pt>
                <c:pt idx="848">
                  <c:v>44333</c:v>
                </c:pt>
                <c:pt idx="849">
                  <c:v>44334</c:v>
                </c:pt>
                <c:pt idx="850">
                  <c:v>44335</c:v>
                </c:pt>
                <c:pt idx="851">
                  <c:v>44336</c:v>
                </c:pt>
                <c:pt idx="852">
                  <c:v>44337</c:v>
                </c:pt>
                <c:pt idx="853">
                  <c:v>44340</c:v>
                </c:pt>
                <c:pt idx="854">
                  <c:v>44341</c:v>
                </c:pt>
                <c:pt idx="855">
                  <c:v>44342</c:v>
                </c:pt>
                <c:pt idx="856">
                  <c:v>44343</c:v>
                </c:pt>
                <c:pt idx="857">
                  <c:v>44344</c:v>
                </c:pt>
                <c:pt idx="858">
                  <c:v>44348</c:v>
                </c:pt>
                <c:pt idx="859">
                  <c:v>44349</c:v>
                </c:pt>
                <c:pt idx="860">
                  <c:v>44350</c:v>
                </c:pt>
                <c:pt idx="861">
                  <c:v>44351</c:v>
                </c:pt>
                <c:pt idx="862">
                  <c:v>44354</c:v>
                </c:pt>
                <c:pt idx="863">
                  <c:v>44355</c:v>
                </c:pt>
                <c:pt idx="864">
                  <c:v>44356</c:v>
                </c:pt>
                <c:pt idx="865">
                  <c:v>44357</c:v>
                </c:pt>
                <c:pt idx="866">
                  <c:v>44358</c:v>
                </c:pt>
                <c:pt idx="867">
                  <c:v>44361</c:v>
                </c:pt>
                <c:pt idx="868">
                  <c:v>44362</c:v>
                </c:pt>
                <c:pt idx="869">
                  <c:v>44363</c:v>
                </c:pt>
                <c:pt idx="870">
                  <c:v>44364</c:v>
                </c:pt>
                <c:pt idx="871">
                  <c:v>44365</c:v>
                </c:pt>
                <c:pt idx="872">
                  <c:v>44368</c:v>
                </c:pt>
                <c:pt idx="873">
                  <c:v>44369</c:v>
                </c:pt>
                <c:pt idx="874">
                  <c:v>44370</c:v>
                </c:pt>
                <c:pt idx="875">
                  <c:v>44371</c:v>
                </c:pt>
                <c:pt idx="876">
                  <c:v>44372</c:v>
                </c:pt>
                <c:pt idx="877">
                  <c:v>44375</c:v>
                </c:pt>
                <c:pt idx="878">
                  <c:v>44376</c:v>
                </c:pt>
                <c:pt idx="879">
                  <c:v>44377</c:v>
                </c:pt>
                <c:pt idx="880">
                  <c:v>44378</c:v>
                </c:pt>
                <c:pt idx="881">
                  <c:v>44379</c:v>
                </c:pt>
                <c:pt idx="882">
                  <c:v>44383</c:v>
                </c:pt>
                <c:pt idx="883">
                  <c:v>44384</c:v>
                </c:pt>
                <c:pt idx="884">
                  <c:v>44385</c:v>
                </c:pt>
                <c:pt idx="885">
                  <c:v>44386</c:v>
                </c:pt>
                <c:pt idx="886">
                  <c:v>44389</c:v>
                </c:pt>
                <c:pt idx="887">
                  <c:v>44390</c:v>
                </c:pt>
                <c:pt idx="888">
                  <c:v>44391</c:v>
                </c:pt>
                <c:pt idx="889">
                  <c:v>44392</c:v>
                </c:pt>
                <c:pt idx="890">
                  <c:v>44393</c:v>
                </c:pt>
                <c:pt idx="891">
                  <c:v>44396</c:v>
                </c:pt>
                <c:pt idx="892">
                  <c:v>44397</c:v>
                </c:pt>
                <c:pt idx="893">
                  <c:v>44398</c:v>
                </c:pt>
                <c:pt idx="894">
                  <c:v>44399</c:v>
                </c:pt>
                <c:pt idx="895">
                  <c:v>44400</c:v>
                </c:pt>
                <c:pt idx="896">
                  <c:v>44403</c:v>
                </c:pt>
                <c:pt idx="897">
                  <c:v>44404</c:v>
                </c:pt>
                <c:pt idx="898">
                  <c:v>44405</c:v>
                </c:pt>
                <c:pt idx="899">
                  <c:v>44406</c:v>
                </c:pt>
                <c:pt idx="900">
                  <c:v>44407</c:v>
                </c:pt>
                <c:pt idx="901">
                  <c:v>44410</c:v>
                </c:pt>
                <c:pt idx="902">
                  <c:v>44411</c:v>
                </c:pt>
                <c:pt idx="903">
                  <c:v>44412</c:v>
                </c:pt>
                <c:pt idx="904">
                  <c:v>44413</c:v>
                </c:pt>
                <c:pt idx="905">
                  <c:v>44414</c:v>
                </c:pt>
                <c:pt idx="906">
                  <c:v>44417</c:v>
                </c:pt>
                <c:pt idx="907">
                  <c:v>44418</c:v>
                </c:pt>
                <c:pt idx="908">
                  <c:v>44419</c:v>
                </c:pt>
                <c:pt idx="909">
                  <c:v>44420</c:v>
                </c:pt>
                <c:pt idx="910">
                  <c:v>44421</c:v>
                </c:pt>
                <c:pt idx="911">
                  <c:v>44424</c:v>
                </c:pt>
                <c:pt idx="912">
                  <c:v>44425</c:v>
                </c:pt>
                <c:pt idx="913">
                  <c:v>44426</c:v>
                </c:pt>
                <c:pt idx="914">
                  <c:v>44427</c:v>
                </c:pt>
                <c:pt idx="915">
                  <c:v>44428</c:v>
                </c:pt>
                <c:pt idx="916">
                  <c:v>44431</c:v>
                </c:pt>
                <c:pt idx="917">
                  <c:v>44432</c:v>
                </c:pt>
                <c:pt idx="918">
                  <c:v>44433</c:v>
                </c:pt>
                <c:pt idx="919">
                  <c:v>44434</c:v>
                </c:pt>
                <c:pt idx="920">
                  <c:v>44435</c:v>
                </c:pt>
                <c:pt idx="921">
                  <c:v>44438</c:v>
                </c:pt>
                <c:pt idx="922">
                  <c:v>44439</c:v>
                </c:pt>
                <c:pt idx="923">
                  <c:v>44440</c:v>
                </c:pt>
                <c:pt idx="924">
                  <c:v>44441</c:v>
                </c:pt>
                <c:pt idx="925">
                  <c:v>44442</c:v>
                </c:pt>
                <c:pt idx="926">
                  <c:v>44446</c:v>
                </c:pt>
                <c:pt idx="927">
                  <c:v>44447</c:v>
                </c:pt>
                <c:pt idx="928">
                  <c:v>44448</c:v>
                </c:pt>
                <c:pt idx="929">
                  <c:v>44449</c:v>
                </c:pt>
                <c:pt idx="930">
                  <c:v>44452</c:v>
                </c:pt>
                <c:pt idx="931">
                  <c:v>44453</c:v>
                </c:pt>
                <c:pt idx="932">
                  <c:v>44454</c:v>
                </c:pt>
                <c:pt idx="933">
                  <c:v>44455</c:v>
                </c:pt>
                <c:pt idx="934">
                  <c:v>44456</c:v>
                </c:pt>
                <c:pt idx="935">
                  <c:v>44459</c:v>
                </c:pt>
                <c:pt idx="936">
                  <c:v>44460</c:v>
                </c:pt>
                <c:pt idx="937">
                  <c:v>44461</c:v>
                </c:pt>
                <c:pt idx="938">
                  <c:v>44462</c:v>
                </c:pt>
                <c:pt idx="939">
                  <c:v>44463</c:v>
                </c:pt>
                <c:pt idx="940">
                  <c:v>44466</c:v>
                </c:pt>
                <c:pt idx="941">
                  <c:v>44467</c:v>
                </c:pt>
                <c:pt idx="942">
                  <c:v>44468</c:v>
                </c:pt>
                <c:pt idx="943">
                  <c:v>44469</c:v>
                </c:pt>
                <c:pt idx="944">
                  <c:v>44470</c:v>
                </c:pt>
                <c:pt idx="945">
                  <c:v>44473</c:v>
                </c:pt>
                <c:pt idx="946">
                  <c:v>44474</c:v>
                </c:pt>
                <c:pt idx="947">
                  <c:v>44475</c:v>
                </c:pt>
                <c:pt idx="948">
                  <c:v>44476</c:v>
                </c:pt>
                <c:pt idx="949">
                  <c:v>44477</c:v>
                </c:pt>
                <c:pt idx="950">
                  <c:v>44480</c:v>
                </c:pt>
                <c:pt idx="951">
                  <c:v>44481</c:v>
                </c:pt>
                <c:pt idx="952">
                  <c:v>44482</c:v>
                </c:pt>
                <c:pt idx="953">
                  <c:v>44483</c:v>
                </c:pt>
                <c:pt idx="954">
                  <c:v>44484</c:v>
                </c:pt>
                <c:pt idx="955">
                  <c:v>44487</c:v>
                </c:pt>
                <c:pt idx="956">
                  <c:v>44488</c:v>
                </c:pt>
                <c:pt idx="957">
                  <c:v>44489</c:v>
                </c:pt>
                <c:pt idx="958">
                  <c:v>44490</c:v>
                </c:pt>
                <c:pt idx="959">
                  <c:v>44491</c:v>
                </c:pt>
                <c:pt idx="960">
                  <c:v>44494</c:v>
                </c:pt>
                <c:pt idx="961">
                  <c:v>44495</c:v>
                </c:pt>
                <c:pt idx="962">
                  <c:v>44496</c:v>
                </c:pt>
                <c:pt idx="963">
                  <c:v>44497</c:v>
                </c:pt>
                <c:pt idx="964">
                  <c:v>44498</c:v>
                </c:pt>
                <c:pt idx="965">
                  <c:v>44501</c:v>
                </c:pt>
                <c:pt idx="966">
                  <c:v>44502</c:v>
                </c:pt>
                <c:pt idx="967">
                  <c:v>44503</c:v>
                </c:pt>
                <c:pt idx="968">
                  <c:v>44504</c:v>
                </c:pt>
                <c:pt idx="969">
                  <c:v>44505</c:v>
                </c:pt>
                <c:pt idx="970">
                  <c:v>44508</c:v>
                </c:pt>
                <c:pt idx="971">
                  <c:v>44509</c:v>
                </c:pt>
                <c:pt idx="972">
                  <c:v>44510</c:v>
                </c:pt>
                <c:pt idx="973">
                  <c:v>44511</c:v>
                </c:pt>
                <c:pt idx="974">
                  <c:v>44512</c:v>
                </c:pt>
                <c:pt idx="975">
                  <c:v>44515</c:v>
                </c:pt>
                <c:pt idx="976">
                  <c:v>44516</c:v>
                </c:pt>
                <c:pt idx="977">
                  <c:v>44517</c:v>
                </c:pt>
                <c:pt idx="978">
                  <c:v>44518</c:v>
                </c:pt>
                <c:pt idx="979">
                  <c:v>44519</c:v>
                </c:pt>
                <c:pt idx="980">
                  <c:v>44522</c:v>
                </c:pt>
                <c:pt idx="981">
                  <c:v>44523</c:v>
                </c:pt>
                <c:pt idx="982">
                  <c:v>44524</c:v>
                </c:pt>
                <c:pt idx="983">
                  <c:v>44526</c:v>
                </c:pt>
                <c:pt idx="984">
                  <c:v>44529</c:v>
                </c:pt>
                <c:pt idx="985">
                  <c:v>44530</c:v>
                </c:pt>
                <c:pt idx="986">
                  <c:v>44531</c:v>
                </c:pt>
                <c:pt idx="987">
                  <c:v>44532</c:v>
                </c:pt>
                <c:pt idx="988">
                  <c:v>44533</c:v>
                </c:pt>
                <c:pt idx="989">
                  <c:v>44536</c:v>
                </c:pt>
                <c:pt idx="990">
                  <c:v>44537</c:v>
                </c:pt>
                <c:pt idx="991">
                  <c:v>44538</c:v>
                </c:pt>
                <c:pt idx="992">
                  <c:v>44539</c:v>
                </c:pt>
                <c:pt idx="993">
                  <c:v>44540</c:v>
                </c:pt>
                <c:pt idx="994">
                  <c:v>44543</c:v>
                </c:pt>
                <c:pt idx="995">
                  <c:v>44544</c:v>
                </c:pt>
                <c:pt idx="996">
                  <c:v>44545</c:v>
                </c:pt>
                <c:pt idx="997">
                  <c:v>44546</c:v>
                </c:pt>
                <c:pt idx="998">
                  <c:v>44547</c:v>
                </c:pt>
                <c:pt idx="999">
                  <c:v>44550</c:v>
                </c:pt>
                <c:pt idx="1000">
                  <c:v>44551</c:v>
                </c:pt>
                <c:pt idx="1001">
                  <c:v>44552</c:v>
                </c:pt>
                <c:pt idx="1002">
                  <c:v>44553</c:v>
                </c:pt>
                <c:pt idx="1003">
                  <c:v>44557</c:v>
                </c:pt>
                <c:pt idx="1004">
                  <c:v>44558</c:v>
                </c:pt>
                <c:pt idx="1005">
                  <c:v>44559</c:v>
                </c:pt>
                <c:pt idx="1006">
                  <c:v>44560</c:v>
                </c:pt>
                <c:pt idx="1007">
                  <c:v>44561</c:v>
                </c:pt>
                <c:pt idx="1008">
                  <c:v>44564</c:v>
                </c:pt>
                <c:pt idx="1009">
                  <c:v>44565</c:v>
                </c:pt>
                <c:pt idx="1010">
                  <c:v>44566</c:v>
                </c:pt>
                <c:pt idx="1011">
                  <c:v>44567</c:v>
                </c:pt>
                <c:pt idx="1012">
                  <c:v>44568</c:v>
                </c:pt>
                <c:pt idx="1013">
                  <c:v>44571</c:v>
                </c:pt>
                <c:pt idx="1014">
                  <c:v>44572</c:v>
                </c:pt>
                <c:pt idx="1015">
                  <c:v>44573</c:v>
                </c:pt>
                <c:pt idx="1016">
                  <c:v>44574</c:v>
                </c:pt>
                <c:pt idx="1017">
                  <c:v>44575</c:v>
                </c:pt>
                <c:pt idx="1018">
                  <c:v>44579</c:v>
                </c:pt>
                <c:pt idx="1019">
                  <c:v>44580</c:v>
                </c:pt>
                <c:pt idx="1020">
                  <c:v>44581</c:v>
                </c:pt>
                <c:pt idx="1021">
                  <c:v>44582</c:v>
                </c:pt>
                <c:pt idx="1022">
                  <c:v>44585</c:v>
                </c:pt>
                <c:pt idx="1023">
                  <c:v>44586</c:v>
                </c:pt>
                <c:pt idx="1024">
                  <c:v>44587</c:v>
                </c:pt>
                <c:pt idx="1025">
                  <c:v>44588</c:v>
                </c:pt>
                <c:pt idx="1026">
                  <c:v>44589</c:v>
                </c:pt>
                <c:pt idx="1027">
                  <c:v>44592</c:v>
                </c:pt>
                <c:pt idx="1028">
                  <c:v>44593</c:v>
                </c:pt>
                <c:pt idx="1029">
                  <c:v>44594</c:v>
                </c:pt>
                <c:pt idx="1030">
                  <c:v>44595</c:v>
                </c:pt>
                <c:pt idx="1031">
                  <c:v>44596</c:v>
                </c:pt>
                <c:pt idx="1032">
                  <c:v>44599</c:v>
                </c:pt>
                <c:pt idx="1033">
                  <c:v>44600</c:v>
                </c:pt>
                <c:pt idx="1034">
                  <c:v>44601</c:v>
                </c:pt>
                <c:pt idx="1035">
                  <c:v>44602</c:v>
                </c:pt>
                <c:pt idx="1036">
                  <c:v>44603</c:v>
                </c:pt>
                <c:pt idx="1037">
                  <c:v>44606</c:v>
                </c:pt>
                <c:pt idx="1038">
                  <c:v>44607</c:v>
                </c:pt>
                <c:pt idx="1039">
                  <c:v>44608</c:v>
                </c:pt>
                <c:pt idx="1040">
                  <c:v>44609</c:v>
                </c:pt>
                <c:pt idx="1041">
                  <c:v>44610</c:v>
                </c:pt>
                <c:pt idx="1042">
                  <c:v>44614</c:v>
                </c:pt>
                <c:pt idx="1043">
                  <c:v>44615</c:v>
                </c:pt>
                <c:pt idx="1044">
                  <c:v>44616</c:v>
                </c:pt>
                <c:pt idx="1045">
                  <c:v>44617</c:v>
                </c:pt>
                <c:pt idx="1046">
                  <c:v>44620</c:v>
                </c:pt>
                <c:pt idx="1047">
                  <c:v>44621</c:v>
                </c:pt>
                <c:pt idx="1048">
                  <c:v>44622</c:v>
                </c:pt>
                <c:pt idx="1049">
                  <c:v>44623</c:v>
                </c:pt>
                <c:pt idx="1050">
                  <c:v>44624</c:v>
                </c:pt>
                <c:pt idx="1051">
                  <c:v>44627</c:v>
                </c:pt>
                <c:pt idx="1052">
                  <c:v>44628</c:v>
                </c:pt>
                <c:pt idx="1053">
                  <c:v>44629</c:v>
                </c:pt>
                <c:pt idx="1054">
                  <c:v>44630</c:v>
                </c:pt>
                <c:pt idx="1055">
                  <c:v>44631</c:v>
                </c:pt>
                <c:pt idx="1056">
                  <c:v>44634</c:v>
                </c:pt>
                <c:pt idx="1057">
                  <c:v>44635</c:v>
                </c:pt>
                <c:pt idx="1058">
                  <c:v>44636</c:v>
                </c:pt>
                <c:pt idx="1059">
                  <c:v>44637</c:v>
                </c:pt>
                <c:pt idx="1060">
                  <c:v>44638</c:v>
                </c:pt>
                <c:pt idx="1061">
                  <c:v>44641</c:v>
                </c:pt>
                <c:pt idx="1062">
                  <c:v>44642</c:v>
                </c:pt>
                <c:pt idx="1063">
                  <c:v>44643</c:v>
                </c:pt>
                <c:pt idx="1064">
                  <c:v>44644</c:v>
                </c:pt>
                <c:pt idx="1065">
                  <c:v>44645</c:v>
                </c:pt>
                <c:pt idx="1066">
                  <c:v>44648</c:v>
                </c:pt>
                <c:pt idx="1067">
                  <c:v>44649</c:v>
                </c:pt>
                <c:pt idx="1068">
                  <c:v>44650</c:v>
                </c:pt>
                <c:pt idx="1069">
                  <c:v>44651</c:v>
                </c:pt>
                <c:pt idx="1070">
                  <c:v>44652</c:v>
                </c:pt>
                <c:pt idx="1071">
                  <c:v>44655</c:v>
                </c:pt>
                <c:pt idx="1072">
                  <c:v>44656</c:v>
                </c:pt>
                <c:pt idx="1073">
                  <c:v>44657</c:v>
                </c:pt>
                <c:pt idx="1074">
                  <c:v>44658</c:v>
                </c:pt>
                <c:pt idx="1075">
                  <c:v>44659</c:v>
                </c:pt>
                <c:pt idx="1076">
                  <c:v>44662</c:v>
                </c:pt>
                <c:pt idx="1077">
                  <c:v>44663</c:v>
                </c:pt>
                <c:pt idx="1078">
                  <c:v>44664</c:v>
                </c:pt>
                <c:pt idx="1079">
                  <c:v>44665</c:v>
                </c:pt>
                <c:pt idx="1080">
                  <c:v>44669</c:v>
                </c:pt>
                <c:pt idx="1081">
                  <c:v>44670</c:v>
                </c:pt>
                <c:pt idx="1082">
                  <c:v>44671</c:v>
                </c:pt>
                <c:pt idx="1083">
                  <c:v>44672</c:v>
                </c:pt>
                <c:pt idx="1084">
                  <c:v>44673</c:v>
                </c:pt>
                <c:pt idx="1085">
                  <c:v>44676</c:v>
                </c:pt>
                <c:pt idx="1086">
                  <c:v>44677</c:v>
                </c:pt>
                <c:pt idx="1087">
                  <c:v>44678</c:v>
                </c:pt>
                <c:pt idx="1088">
                  <c:v>44679</c:v>
                </c:pt>
                <c:pt idx="1089">
                  <c:v>44680</c:v>
                </c:pt>
                <c:pt idx="1090">
                  <c:v>44683</c:v>
                </c:pt>
                <c:pt idx="1091">
                  <c:v>44684</c:v>
                </c:pt>
                <c:pt idx="1092">
                  <c:v>44685</c:v>
                </c:pt>
                <c:pt idx="1093">
                  <c:v>44686</c:v>
                </c:pt>
                <c:pt idx="1094">
                  <c:v>44687</c:v>
                </c:pt>
                <c:pt idx="1095">
                  <c:v>44690</c:v>
                </c:pt>
                <c:pt idx="1096">
                  <c:v>44691</c:v>
                </c:pt>
                <c:pt idx="1097">
                  <c:v>44692</c:v>
                </c:pt>
                <c:pt idx="1098">
                  <c:v>44693</c:v>
                </c:pt>
                <c:pt idx="1099">
                  <c:v>44694</c:v>
                </c:pt>
                <c:pt idx="1100">
                  <c:v>44697</c:v>
                </c:pt>
                <c:pt idx="1101">
                  <c:v>44698</c:v>
                </c:pt>
                <c:pt idx="1102">
                  <c:v>44699</c:v>
                </c:pt>
                <c:pt idx="1103">
                  <c:v>44700</c:v>
                </c:pt>
                <c:pt idx="1104">
                  <c:v>44701</c:v>
                </c:pt>
                <c:pt idx="1105">
                  <c:v>44704</c:v>
                </c:pt>
                <c:pt idx="1106">
                  <c:v>44705</c:v>
                </c:pt>
                <c:pt idx="1107">
                  <c:v>44706</c:v>
                </c:pt>
                <c:pt idx="1108">
                  <c:v>44707</c:v>
                </c:pt>
                <c:pt idx="1109">
                  <c:v>44708</c:v>
                </c:pt>
                <c:pt idx="1110">
                  <c:v>44712</c:v>
                </c:pt>
                <c:pt idx="1111">
                  <c:v>44713</c:v>
                </c:pt>
                <c:pt idx="1112">
                  <c:v>44714</c:v>
                </c:pt>
                <c:pt idx="1113">
                  <c:v>44715</c:v>
                </c:pt>
                <c:pt idx="1114">
                  <c:v>44718</c:v>
                </c:pt>
                <c:pt idx="1115">
                  <c:v>44719</c:v>
                </c:pt>
                <c:pt idx="1116">
                  <c:v>44720</c:v>
                </c:pt>
                <c:pt idx="1117">
                  <c:v>44721</c:v>
                </c:pt>
                <c:pt idx="1118">
                  <c:v>44722</c:v>
                </c:pt>
                <c:pt idx="1119">
                  <c:v>44725</c:v>
                </c:pt>
                <c:pt idx="1120">
                  <c:v>44726</c:v>
                </c:pt>
                <c:pt idx="1121">
                  <c:v>44727</c:v>
                </c:pt>
                <c:pt idx="1122">
                  <c:v>44728</c:v>
                </c:pt>
                <c:pt idx="1123">
                  <c:v>44729</c:v>
                </c:pt>
                <c:pt idx="1124">
                  <c:v>44733</c:v>
                </c:pt>
                <c:pt idx="1125">
                  <c:v>44734</c:v>
                </c:pt>
                <c:pt idx="1126">
                  <c:v>44735</c:v>
                </c:pt>
                <c:pt idx="1127">
                  <c:v>44736</c:v>
                </c:pt>
                <c:pt idx="1128">
                  <c:v>44739</c:v>
                </c:pt>
                <c:pt idx="1129">
                  <c:v>44740</c:v>
                </c:pt>
                <c:pt idx="1130">
                  <c:v>44741</c:v>
                </c:pt>
                <c:pt idx="1131">
                  <c:v>44742</c:v>
                </c:pt>
                <c:pt idx="1132">
                  <c:v>44743</c:v>
                </c:pt>
                <c:pt idx="1133">
                  <c:v>44747</c:v>
                </c:pt>
                <c:pt idx="1134">
                  <c:v>44748</c:v>
                </c:pt>
                <c:pt idx="1135">
                  <c:v>44749</c:v>
                </c:pt>
                <c:pt idx="1136">
                  <c:v>44750</c:v>
                </c:pt>
                <c:pt idx="1137">
                  <c:v>44753</c:v>
                </c:pt>
                <c:pt idx="1138">
                  <c:v>44754</c:v>
                </c:pt>
                <c:pt idx="1139">
                  <c:v>44755</c:v>
                </c:pt>
                <c:pt idx="1140">
                  <c:v>44756</c:v>
                </c:pt>
                <c:pt idx="1141">
                  <c:v>44757</c:v>
                </c:pt>
                <c:pt idx="1142">
                  <c:v>44760</c:v>
                </c:pt>
                <c:pt idx="1143">
                  <c:v>44761</c:v>
                </c:pt>
                <c:pt idx="1144">
                  <c:v>44762</c:v>
                </c:pt>
                <c:pt idx="1145">
                  <c:v>44763</c:v>
                </c:pt>
                <c:pt idx="1146">
                  <c:v>44764</c:v>
                </c:pt>
                <c:pt idx="1147">
                  <c:v>44767</c:v>
                </c:pt>
                <c:pt idx="1148">
                  <c:v>44768</c:v>
                </c:pt>
                <c:pt idx="1149">
                  <c:v>44769</c:v>
                </c:pt>
                <c:pt idx="1150">
                  <c:v>44770</c:v>
                </c:pt>
                <c:pt idx="1151">
                  <c:v>44771</c:v>
                </c:pt>
                <c:pt idx="1152">
                  <c:v>44774</c:v>
                </c:pt>
                <c:pt idx="1153">
                  <c:v>44775</c:v>
                </c:pt>
                <c:pt idx="1154">
                  <c:v>44776</c:v>
                </c:pt>
                <c:pt idx="1155">
                  <c:v>44777</c:v>
                </c:pt>
                <c:pt idx="1156">
                  <c:v>44778</c:v>
                </c:pt>
                <c:pt idx="1157">
                  <c:v>44781</c:v>
                </c:pt>
                <c:pt idx="1158">
                  <c:v>44782</c:v>
                </c:pt>
                <c:pt idx="1159">
                  <c:v>44783</c:v>
                </c:pt>
                <c:pt idx="1160">
                  <c:v>44784</c:v>
                </c:pt>
                <c:pt idx="1161">
                  <c:v>44785</c:v>
                </c:pt>
                <c:pt idx="1162">
                  <c:v>44788</c:v>
                </c:pt>
                <c:pt idx="1163">
                  <c:v>44789</c:v>
                </c:pt>
                <c:pt idx="1164">
                  <c:v>44790</c:v>
                </c:pt>
                <c:pt idx="1165">
                  <c:v>44791</c:v>
                </c:pt>
                <c:pt idx="1166">
                  <c:v>44792</c:v>
                </c:pt>
                <c:pt idx="1167">
                  <c:v>44795</c:v>
                </c:pt>
                <c:pt idx="1168">
                  <c:v>44796</c:v>
                </c:pt>
                <c:pt idx="1169">
                  <c:v>44797</c:v>
                </c:pt>
                <c:pt idx="1170">
                  <c:v>44798</c:v>
                </c:pt>
                <c:pt idx="1171">
                  <c:v>44799</c:v>
                </c:pt>
                <c:pt idx="1172">
                  <c:v>44802</c:v>
                </c:pt>
                <c:pt idx="1173">
                  <c:v>44803</c:v>
                </c:pt>
                <c:pt idx="1174">
                  <c:v>44804</c:v>
                </c:pt>
                <c:pt idx="1175">
                  <c:v>44805</c:v>
                </c:pt>
                <c:pt idx="1176">
                  <c:v>44806</c:v>
                </c:pt>
                <c:pt idx="1177">
                  <c:v>44810</c:v>
                </c:pt>
                <c:pt idx="1178">
                  <c:v>44811</c:v>
                </c:pt>
                <c:pt idx="1179">
                  <c:v>44812</c:v>
                </c:pt>
                <c:pt idx="1180">
                  <c:v>44813</c:v>
                </c:pt>
                <c:pt idx="1181">
                  <c:v>44816</c:v>
                </c:pt>
                <c:pt idx="1182">
                  <c:v>44817</c:v>
                </c:pt>
                <c:pt idx="1183">
                  <c:v>44818</c:v>
                </c:pt>
                <c:pt idx="1184">
                  <c:v>44819</c:v>
                </c:pt>
                <c:pt idx="1185">
                  <c:v>44820</c:v>
                </c:pt>
                <c:pt idx="1186">
                  <c:v>44823</c:v>
                </c:pt>
                <c:pt idx="1187">
                  <c:v>44824</c:v>
                </c:pt>
                <c:pt idx="1188">
                  <c:v>44825</c:v>
                </c:pt>
                <c:pt idx="1189">
                  <c:v>44826</c:v>
                </c:pt>
                <c:pt idx="1190">
                  <c:v>44827</c:v>
                </c:pt>
                <c:pt idx="1191">
                  <c:v>44830</c:v>
                </c:pt>
                <c:pt idx="1192">
                  <c:v>44831</c:v>
                </c:pt>
                <c:pt idx="1193">
                  <c:v>44832</c:v>
                </c:pt>
                <c:pt idx="1194">
                  <c:v>44833</c:v>
                </c:pt>
                <c:pt idx="1195">
                  <c:v>44834</c:v>
                </c:pt>
                <c:pt idx="1196">
                  <c:v>44837</c:v>
                </c:pt>
                <c:pt idx="1197">
                  <c:v>44838</c:v>
                </c:pt>
                <c:pt idx="1198">
                  <c:v>44839</c:v>
                </c:pt>
                <c:pt idx="1199">
                  <c:v>44840</c:v>
                </c:pt>
                <c:pt idx="1200">
                  <c:v>44841</c:v>
                </c:pt>
                <c:pt idx="1201">
                  <c:v>44844</c:v>
                </c:pt>
                <c:pt idx="1202">
                  <c:v>44845</c:v>
                </c:pt>
                <c:pt idx="1203">
                  <c:v>44846</c:v>
                </c:pt>
                <c:pt idx="1204">
                  <c:v>44847</c:v>
                </c:pt>
                <c:pt idx="1205">
                  <c:v>44848</c:v>
                </c:pt>
                <c:pt idx="1206">
                  <c:v>44851</c:v>
                </c:pt>
                <c:pt idx="1207">
                  <c:v>44852</c:v>
                </c:pt>
                <c:pt idx="1208">
                  <c:v>44853</c:v>
                </c:pt>
                <c:pt idx="1209">
                  <c:v>44854</c:v>
                </c:pt>
                <c:pt idx="1210">
                  <c:v>44855</c:v>
                </c:pt>
                <c:pt idx="1211">
                  <c:v>44858</c:v>
                </c:pt>
                <c:pt idx="1212">
                  <c:v>44859</c:v>
                </c:pt>
                <c:pt idx="1213">
                  <c:v>44860</c:v>
                </c:pt>
                <c:pt idx="1214">
                  <c:v>44861</c:v>
                </c:pt>
                <c:pt idx="1215">
                  <c:v>44862</c:v>
                </c:pt>
                <c:pt idx="1216">
                  <c:v>44865</c:v>
                </c:pt>
                <c:pt idx="1217">
                  <c:v>44866</c:v>
                </c:pt>
                <c:pt idx="1218">
                  <c:v>44867</c:v>
                </c:pt>
                <c:pt idx="1219">
                  <c:v>44868</c:v>
                </c:pt>
                <c:pt idx="1220">
                  <c:v>44869</c:v>
                </c:pt>
                <c:pt idx="1221">
                  <c:v>44872</c:v>
                </c:pt>
                <c:pt idx="1222">
                  <c:v>44873</c:v>
                </c:pt>
                <c:pt idx="1223">
                  <c:v>44874</c:v>
                </c:pt>
                <c:pt idx="1224">
                  <c:v>44875</c:v>
                </c:pt>
                <c:pt idx="1225">
                  <c:v>44876</c:v>
                </c:pt>
                <c:pt idx="1226">
                  <c:v>44879</c:v>
                </c:pt>
                <c:pt idx="1227">
                  <c:v>44880</c:v>
                </c:pt>
                <c:pt idx="1228">
                  <c:v>44881</c:v>
                </c:pt>
                <c:pt idx="1229">
                  <c:v>44882</c:v>
                </c:pt>
                <c:pt idx="1230">
                  <c:v>44883</c:v>
                </c:pt>
                <c:pt idx="1231">
                  <c:v>44886</c:v>
                </c:pt>
                <c:pt idx="1232">
                  <c:v>44887</c:v>
                </c:pt>
                <c:pt idx="1233">
                  <c:v>44888</c:v>
                </c:pt>
                <c:pt idx="1234">
                  <c:v>44890</c:v>
                </c:pt>
                <c:pt idx="1235">
                  <c:v>44893</c:v>
                </c:pt>
                <c:pt idx="1236">
                  <c:v>44894</c:v>
                </c:pt>
                <c:pt idx="1237">
                  <c:v>44895</c:v>
                </c:pt>
                <c:pt idx="1238">
                  <c:v>44896</c:v>
                </c:pt>
                <c:pt idx="1239">
                  <c:v>44897</c:v>
                </c:pt>
                <c:pt idx="1240">
                  <c:v>44900</c:v>
                </c:pt>
                <c:pt idx="1241">
                  <c:v>44901</c:v>
                </c:pt>
                <c:pt idx="1242">
                  <c:v>44902</c:v>
                </c:pt>
                <c:pt idx="1243">
                  <c:v>44903</c:v>
                </c:pt>
                <c:pt idx="1244">
                  <c:v>44904</c:v>
                </c:pt>
                <c:pt idx="1245">
                  <c:v>44907</c:v>
                </c:pt>
                <c:pt idx="1246">
                  <c:v>44908</c:v>
                </c:pt>
                <c:pt idx="1247">
                  <c:v>44909</c:v>
                </c:pt>
                <c:pt idx="1248">
                  <c:v>44910</c:v>
                </c:pt>
                <c:pt idx="1249">
                  <c:v>44911</c:v>
                </c:pt>
                <c:pt idx="1250">
                  <c:v>44914</c:v>
                </c:pt>
                <c:pt idx="1251">
                  <c:v>44915</c:v>
                </c:pt>
                <c:pt idx="1252">
                  <c:v>44916</c:v>
                </c:pt>
                <c:pt idx="1253">
                  <c:v>44917</c:v>
                </c:pt>
                <c:pt idx="1254">
                  <c:v>44918</c:v>
                </c:pt>
                <c:pt idx="1255">
                  <c:v>44922</c:v>
                </c:pt>
                <c:pt idx="1256">
                  <c:v>44923</c:v>
                </c:pt>
                <c:pt idx="1257">
                  <c:v>44924</c:v>
                </c:pt>
                <c:pt idx="1258">
                  <c:v>44925</c:v>
                </c:pt>
                <c:pt idx="1259">
                  <c:v>44929</c:v>
                </c:pt>
                <c:pt idx="1260">
                  <c:v>44930</c:v>
                </c:pt>
                <c:pt idx="1261">
                  <c:v>44931</c:v>
                </c:pt>
                <c:pt idx="1262">
                  <c:v>44932</c:v>
                </c:pt>
                <c:pt idx="1263">
                  <c:v>44935</c:v>
                </c:pt>
                <c:pt idx="1264">
                  <c:v>44936</c:v>
                </c:pt>
                <c:pt idx="1265">
                  <c:v>44937</c:v>
                </c:pt>
                <c:pt idx="1266">
                  <c:v>44938</c:v>
                </c:pt>
                <c:pt idx="1267">
                  <c:v>44939</c:v>
                </c:pt>
                <c:pt idx="1268">
                  <c:v>44943</c:v>
                </c:pt>
                <c:pt idx="1269">
                  <c:v>44944</c:v>
                </c:pt>
                <c:pt idx="1270">
                  <c:v>44945</c:v>
                </c:pt>
                <c:pt idx="1271">
                  <c:v>44946</c:v>
                </c:pt>
                <c:pt idx="1272">
                  <c:v>44949</c:v>
                </c:pt>
                <c:pt idx="1273">
                  <c:v>44950</c:v>
                </c:pt>
                <c:pt idx="1274">
                  <c:v>44951</c:v>
                </c:pt>
                <c:pt idx="1275">
                  <c:v>44952</c:v>
                </c:pt>
                <c:pt idx="1276">
                  <c:v>44953</c:v>
                </c:pt>
                <c:pt idx="1277">
                  <c:v>44956</c:v>
                </c:pt>
                <c:pt idx="1278">
                  <c:v>44957</c:v>
                </c:pt>
                <c:pt idx="1279">
                  <c:v>44958</c:v>
                </c:pt>
                <c:pt idx="1280">
                  <c:v>44959</c:v>
                </c:pt>
                <c:pt idx="1281">
                  <c:v>44960</c:v>
                </c:pt>
                <c:pt idx="1282">
                  <c:v>44963</c:v>
                </c:pt>
                <c:pt idx="1283">
                  <c:v>44964</c:v>
                </c:pt>
                <c:pt idx="1284">
                  <c:v>44965</c:v>
                </c:pt>
                <c:pt idx="1285">
                  <c:v>44966</c:v>
                </c:pt>
                <c:pt idx="1286">
                  <c:v>44967</c:v>
                </c:pt>
                <c:pt idx="1287">
                  <c:v>44970</c:v>
                </c:pt>
                <c:pt idx="1288">
                  <c:v>44971</c:v>
                </c:pt>
                <c:pt idx="1289">
                  <c:v>44972</c:v>
                </c:pt>
                <c:pt idx="1290">
                  <c:v>44973</c:v>
                </c:pt>
                <c:pt idx="1291">
                  <c:v>44974</c:v>
                </c:pt>
                <c:pt idx="1292">
                  <c:v>44978</c:v>
                </c:pt>
                <c:pt idx="1293">
                  <c:v>44979</c:v>
                </c:pt>
                <c:pt idx="1294">
                  <c:v>44980</c:v>
                </c:pt>
                <c:pt idx="1295">
                  <c:v>44981</c:v>
                </c:pt>
                <c:pt idx="1296">
                  <c:v>44984</c:v>
                </c:pt>
                <c:pt idx="1297">
                  <c:v>44985</c:v>
                </c:pt>
                <c:pt idx="1298">
                  <c:v>44986</c:v>
                </c:pt>
                <c:pt idx="1299">
                  <c:v>44987</c:v>
                </c:pt>
                <c:pt idx="1300">
                  <c:v>44988</c:v>
                </c:pt>
                <c:pt idx="1301">
                  <c:v>44991</c:v>
                </c:pt>
                <c:pt idx="1302">
                  <c:v>44992</c:v>
                </c:pt>
                <c:pt idx="1303">
                  <c:v>44993</c:v>
                </c:pt>
                <c:pt idx="1304">
                  <c:v>44994</c:v>
                </c:pt>
                <c:pt idx="1305">
                  <c:v>44995</c:v>
                </c:pt>
                <c:pt idx="1306">
                  <c:v>44998</c:v>
                </c:pt>
                <c:pt idx="1307">
                  <c:v>44999</c:v>
                </c:pt>
                <c:pt idx="1308">
                  <c:v>45000</c:v>
                </c:pt>
                <c:pt idx="1309">
                  <c:v>45001</c:v>
                </c:pt>
                <c:pt idx="1310">
                  <c:v>45002</c:v>
                </c:pt>
                <c:pt idx="1311">
                  <c:v>45005</c:v>
                </c:pt>
                <c:pt idx="1312">
                  <c:v>45006</c:v>
                </c:pt>
                <c:pt idx="1313">
                  <c:v>45007</c:v>
                </c:pt>
                <c:pt idx="1314">
                  <c:v>45008</c:v>
                </c:pt>
                <c:pt idx="1315">
                  <c:v>45009</c:v>
                </c:pt>
                <c:pt idx="1316">
                  <c:v>45012</c:v>
                </c:pt>
                <c:pt idx="1317">
                  <c:v>45013</c:v>
                </c:pt>
                <c:pt idx="1318">
                  <c:v>45014</c:v>
                </c:pt>
                <c:pt idx="1319">
                  <c:v>45015</c:v>
                </c:pt>
                <c:pt idx="1320">
                  <c:v>45016</c:v>
                </c:pt>
                <c:pt idx="1321">
                  <c:v>45019</c:v>
                </c:pt>
                <c:pt idx="1322">
                  <c:v>45020</c:v>
                </c:pt>
                <c:pt idx="1323">
                  <c:v>45021</c:v>
                </c:pt>
                <c:pt idx="1324">
                  <c:v>45022</c:v>
                </c:pt>
                <c:pt idx="1325">
                  <c:v>45026</c:v>
                </c:pt>
                <c:pt idx="1326">
                  <c:v>45027</c:v>
                </c:pt>
                <c:pt idx="1327">
                  <c:v>45028</c:v>
                </c:pt>
                <c:pt idx="1328">
                  <c:v>45029</c:v>
                </c:pt>
                <c:pt idx="1329">
                  <c:v>45030</c:v>
                </c:pt>
                <c:pt idx="1330">
                  <c:v>45033</c:v>
                </c:pt>
                <c:pt idx="1331">
                  <c:v>45034</c:v>
                </c:pt>
                <c:pt idx="1332">
                  <c:v>45035</c:v>
                </c:pt>
                <c:pt idx="1333">
                  <c:v>45036</c:v>
                </c:pt>
                <c:pt idx="1334">
                  <c:v>45037</c:v>
                </c:pt>
                <c:pt idx="1335">
                  <c:v>45040</c:v>
                </c:pt>
                <c:pt idx="1336">
                  <c:v>45041</c:v>
                </c:pt>
                <c:pt idx="1337">
                  <c:v>45042</c:v>
                </c:pt>
                <c:pt idx="1338">
                  <c:v>45043</c:v>
                </c:pt>
                <c:pt idx="1339">
                  <c:v>45044</c:v>
                </c:pt>
                <c:pt idx="1340">
                  <c:v>45047</c:v>
                </c:pt>
                <c:pt idx="1341">
                  <c:v>45048</c:v>
                </c:pt>
                <c:pt idx="1342">
                  <c:v>45049</c:v>
                </c:pt>
                <c:pt idx="1343">
                  <c:v>45050</c:v>
                </c:pt>
                <c:pt idx="1344">
                  <c:v>45051</c:v>
                </c:pt>
                <c:pt idx="1345">
                  <c:v>45054</c:v>
                </c:pt>
                <c:pt idx="1346">
                  <c:v>45055</c:v>
                </c:pt>
                <c:pt idx="1347">
                  <c:v>45056</c:v>
                </c:pt>
                <c:pt idx="1348">
                  <c:v>45057</c:v>
                </c:pt>
                <c:pt idx="1349">
                  <c:v>45058</c:v>
                </c:pt>
                <c:pt idx="1350">
                  <c:v>45061</c:v>
                </c:pt>
                <c:pt idx="1351">
                  <c:v>45062</c:v>
                </c:pt>
                <c:pt idx="1352">
                  <c:v>45063</c:v>
                </c:pt>
                <c:pt idx="1353">
                  <c:v>45064</c:v>
                </c:pt>
                <c:pt idx="1354">
                  <c:v>45065</c:v>
                </c:pt>
                <c:pt idx="1355">
                  <c:v>45068</c:v>
                </c:pt>
                <c:pt idx="1356">
                  <c:v>45069</c:v>
                </c:pt>
                <c:pt idx="1357">
                  <c:v>45070</c:v>
                </c:pt>
                <c:pt idx="1358">
                  <c:v>45071</c:v>
                </c:pt>
                <c:pt idx="1359">
                  <c:v>45072</c:v>
                </c:pt>
                <c:pt idx="1360">
                  <c:v>45076</c:v>
                </c:pt>
                <c:pt idx="1361">
                  <c:v>45077</c:v>
                </c:pt>
                <c:pt idx="1362">
                  <c:v>45078</c:v>
                </c:pt>
                <c:pt idx="1363">
                  <c:v>45079</c:v>
                </c:pt>
                <c:pt idx="1364">
                  <c:v>45082</c:v>
                </c:pt>
                <c:pt idx="1365">
                  <c:v>45083</c:v>
                </c:pt>
                <c:pt idx="1366">
                  <c:v>45084</c:v>
                </c:pt>
                <c:pt idx="1367">
                  <c:v>45085</c:v>
                </c:pt>
                <c:pt idx="1368">
                  <c:v>45086</c:v>
                </c:pt>
                <c:pt idx="1369">
                  <c:v>45089</c:v>
                </c:pt>
                <c:pt idx="1370">
                  <c:v>45090</c:v>
                </c:pt>
                <c:pt idx="1371">
                  <c:v>45091</c:v>
                </c:pt>
                <c:pt idx="1372">
                  <c:v>45092</c:v>
                </c:pt>
                <c:pt idx="1373">
                  <c:v>45093</c:v>
                </c:pt>
                <c:pt idx="1374">
                  <c:v>45097</c:v>
                </c:pt>
                <c:pt idx="1375">
                  <c:v>45098</c:v>
                </c:pt>
                <c:pt idx="1376">
                  <c:v>45099</c:v>
                </c:pt>
                <c:pt idx="1377">
                  <c:v>45100</c:v>
                </c:pt>
                <c:pt idx="1378">
                  <c:v>45103</c:v>
                </c:pt>
                <c:pt idx="1379">
                  <c:v>45104</c:v>
                </c:pt>
                <c:pt idx="1380">
                  <c:v>45105</c:v>
                </c:pt>
                <c:pt idx="1381">
                  <c:v>45106</c:v>
                </c:pt>
                <c:pt idx="1382">
                  <c:v>45107</c:v>
                </c:pt>
                <c:pt idx="1383">
                  <c:v>45110</c:v>
                </c:pt>
                <c:pt idx="1384">
                  <c:v>45112</c:v>
                </c:pt>
                <c:pt idx="1385">
                  <c:v>45113</c:v>
                </c:pt>
                <c:pt idx="1386">
                  <c:v>45114</c:v>
                </c:pt>
                <c:pt idx="1387">
                  <c:v>45117</c:v>
                </c:pt>
                <c:pt idx="1388">
                  <c:v>45118</c:v>
                </c:pt>
                <c:pt idx="1389">
                  <c:v>45119</c:v>
                </c:pt>
                <c:pt idx="1390">
                  <c:v>45120</c:v>
                </c:pt>
                <c:pt idx="1391">
                  <c:v>45121</c:v>
                </c:pt>
                <c:pt idx="1392">
                  <c:v>45124</c:v>
                </c:pt>
                <c:pt idx="1393">
                  <c:v>45125</c:v>
                </c:pt>
                <c:pt idx="1394">
                  <c:v>45126</c:v>
                </c:pt>
                <c:pt idx="1395">
                  <c:v>45127</c:v>
                </c:pt>
                <c:pt idx="1396">
                  <c:v>45128</c:v>
                </c:pt>
                <c:pt idx="1397">
                  <c:v>45131</c:v>
                </c:pt>
                <c:pt idx="1398">
                  <c:v>45132</c:v>
                </c:pt>
                <c:pt idx="1399">
                  <c:v>45133</c:v>
                </c:pt>
                <c:pt idx="1400">
                  <c:v>45134</c:v>
                </c:pt>
                <c:pt idx="1401">
                  <c:v>45135</c:v>
                </c:pt>
                <c:pt idx="1402">
                  <c:v>45138</c:v>
                </c:pt>
                <c:pt idx="1403">
                  <c:v>45139</c:v>
                </c:pt>
                <c:pt idx="1404">
                  <c:v>45140</c:v>
                </c:pt>
                <c:pt idx="1405">
                  <c:v>45141</c:v>
                </c:pt>
                <c:pt idx="1406">
                  <c:v>45142</c:v>
                </c:pt>
                <c:pt idx="1407">
                  <c:v>45145</c:v>
                </c:pt>
                <c:pt idx="1408">
                  <c:v>45146</c:v>
                </c:pt>
                <c:pt idx="1409">
                  <c:v>45147</c:v>
                </c:pt>
                <c:pt idx="1410">
                  <c:v>45148</c:v>
                </c:pt>
                <c:pt idx="1411">
                  <c:v>45149</c:v>
                </c:pt>
                <c:pt idx="1412">
                  <c:v>45152</c:v>
                </c:pt>
                <c:pt idx="1413">
                  <c:v>45153</c:v>
                </c:pt>
                <c:pt idx="1414">
                  <c:v>45154</c:v>
                </c:pt>
                <c:pt idx="1415">
                  <c:v>45155</c:v>
                </c:pt>
                <c:pt idx="1416">
                  <c:v>45156</c:v>
                </c:pt>
                <c:pt idx="1417">
                  <c:v>45159</c:v>
                </c:pt>
                <c:pt idx="1418">
                  <c:v>45160</c:v>
                </c:pt>
                <c:pt idx="1419">
                  <c:v>45161</c:v>
                </c:pt>
                <c:pt idx="1420">
                  <c:v>45162</c:v>
                </c:pt>
                <c:pt idx="1421">
                  <c:v>45163</c:v>
                </c:pt>
                <c:pt idx="1422">
                  <c:v>45166</c:v>
                </c:pt>
                <c:pt idx="1423">
                  <c:v>45167</c:v>
                </c:pt>
                <c:pt idx="1424">
                  <c:v>45168</c:v>
                </c:pt>
                <c:pt idx="1425">
                  <c:v>45169</c:v>
                </c:pt>
              </c:numCache>
            </c:numRef>
          </c:cat>
          <c:val>
            <c:numRef>
              <c:f>Beta!$C$1555:$C$2980</c:f>
              <c:numCache>
                <c:formatCode>#,##0.00_);\(#,##0.00\)</c:formatCode>
                <c:ptCount val="1426"/>
                <c:pt idx="0">
                  <c:v>22</c:v>
                </c:pt>
                <c:pt idx="1">
                  <c:v>22.41</c:v>
                </c:pt>
                <c:pt idx="2">
                  <c:v>22.35</c:v>
                </c:pt>
                <c:pt idx="3">
                  <c:v>22.780000999999999</c:v>
                </c:pt>
                <c:pt idx="4">
                  <c:v>22.67</c:v>
                </c:pt>
                <c:pt idx="5">
                  <c:v>22.68</c:v>
                </c:pt>
                <c:pt idx="6">
                  <c:v>22.129999000000002</c:v>
                </c:pt>
                <c:pt idx="7">
                  <c:v>22.459999</c:v>
                </c:pt>
                <c:pt idx="8">
                  <c:v>22.790001</c:v>
                </c:pt>
                <c:pt idx="9">
                  <c:v>22.15</c:v>
                </c:pt>
                <c:pt idx="10">
                  <c:v>22.790001</c:v>
                </c:pt>
                <c:pt idx="11">
                  <c:v>22.6</c:v>
                </c:pt>
                <c:pt idx="12">
                  <c:v>22.309999000000001</c:v>
                </c:pt>
                <c:pt idx="13">
                  <c:v>22.74</c:v>
                </c:pt>
                <c:pt idx="14">
                  <c:v>23.030000999999999</c:v>
                </c:pt>
                <c:pt idx="15">
                  <c:v>22.379999000000002</c:v>
                </c:pt>
                <c:pt idx="16">
                  <c:v>22.43</c:v>
                </c:pt>
                <c:pt idx="17">
                  <c:v>22.65</c:v>
                </c:pt>
                <c:pt idx="18">
                  <c:v>21.74</c:v>
                </c:pt>
                <c:pt idx="19">
                  <c:v>21.52</c:v>
                </c:pt>
                <c:pt idx="20">
                  <c:v>21.42</c:v>
                </c:pt>
                <c:pt idx="21">
                  <c:v>21.9</c:v>
                </c:pt>
                <c:pt idx="22">
                  <c:v>20.82</c:v>
                </c:pt>
                <c:pt idx="23">
                  <c:v>19.920000000000002</c:v>
                </c:pt>
                <c:pt idx="24">
                  <c:v>20.370000999999998</c:v>
                </c:pt>
                <c:pt idx="25">
                  <c:v>20.379999000000002</c:v>
                </c:pt>
                <c:pt idx="26">
                  <c:v>19.73</c:v>
                </c:pt>
                <c:pt idx="27">
                  <c:v>19.799999</c:v>
                </c:pt>
                <c:pt idx="28">
                  <c:v>19.530000999999999</c:v>
                </c:pt>
                <c:pt idx="29">
                  <c:v>19.48</c:v>
                </c:pt>
                <c:pt idx="30">
                  <c:v>19.82</c:v>
                </c:pt>
                <c:pt idx="31">
                  <c:v>19.879999000000002</c:v>
                </c:pt>
                <c:pt idx="32">
                  <c:v>20.549999</c:v>
                </c:pt>
                <c:pt idx="33">
                  <c:v>20.389999</c:v>
                </c:pt>
                <c:pt idx="34">
                  <c:v>20.350000000000001</c:v>
                </c:pt>
                <c:pt idx="35">
                  <c:v>20.23</c:v>
                </c:pt>
                <c:pt idx="36">
                  <c:v>20.77</c:v>
                </c:pt>
                <c:pt idx="37">
                  <c:v>20.51</c:v>
                </c:pt>
                <c:pt idx="38">
                  <c:v>19.649999999999999</c:v>
                </c:pt>
                <c:pt idx="39">
                  <c:v>19.18</c:v>
                </c:pt>
                <c:pt idx="40">
                  <c:v>21.190000999999999</c:v>
                </c:pt>
                <c:pt idx="41">
                  <c:v>21.43</c:v>
                </c:pt>
                <c:pt idx="42">
                  <c:v>21.07</c:v>
                </c:pt>
                <c:pt idx="43">
                  <c:v>21.48</c:v>
                </c:pt>
                <c:pt idx="44">
                  <c:v>21.610001</c:v>
                </c:pt>
                <c:pt idx="45">
                  <c:v>21.17</c:v>
                </c:pt>
                <c:pt idx="46">
                  <c:v>21.57</c:v>
                </c:pt>
                <c:pt idx="47">
                  <c:v>21.639999</c:v>
                </c:pt>
                <c:pt idx="48">
                  <c:v>21.9</c:v>
                </c:pt>
                <c:pt idx="49">
                  <c:v>21.780000999999999</c:v>
                </c:pt>
                <c:pt idx="50">
                  <c:v>21.040001</c:v>
                </c:pt>
                <c:pt idx="51">
                  <c:v>20.799999</c:v>
                </c:pt>
                <c:pt idx="52">
                  <c:v>20.73</c:v>
                </c:pt>
                <c:pt idx="53">
                  <c:v>20.65</c:v>
                </c:pt>
                <c:pt idx="54">
                  <c:v>21.059999000000001</c:v>
                </c:pt>
                <c:pt idx="55">
                  <c:v>20.329999999999998</c:v>
                </c:pt>
                <c:pt idx="56">
                  <c:v>19.879999000000002</c:v>
                </c:pt>
                <c:pt idx="57">
                  <c:v>20.149999999999999</c:v>
                </c:pt>
                <c:pt idx="58">
                  <c:v>19.66</c:v>
                </c:pt>
                <c:pt idx="59">
                  <c:v>19.610001</c:v>
                </c:pt>
                <c:pt idx="60">
                  <c:v>19.84</c:v>
                </c:pt>
                <c:pt idx="61">
                  <c:v>18.75</c:v>
                </c:pt>
                <c:pt idx="62">
                  <c:v>18.93</c:v>
                </c:pt>
                <c:pt idx="63">
                  <c:v>19.579999999999998</c:v>
                </c:pt>
                <c:pt idx="64">
                  <c:v>19.870000999999998</c:v>
                </c:pt>
                <c:pt idx="65">
                  <c:v>19.700001</c:v>
                </c:pt>
                <c:pt idx="66">
                  <c:v>19.059999000000001</c:v>
                </c:pt>
                <c:pt idx="67">
                  <c:v>19.32</c:v>
                </c:pt>
                <c:pt idx="68">
                  <c:v>19.209999</c:v>
                </c:pt>
                <c:pt idx="69">
                  <c:v>19.23</c:v>
                </c:pt>
                <c:pt idx="70">
                  <c:v>19.200001</c:v>
                </c:pt>
                <c:pt idx="71">
                  <c:v>19.629999000000002</c:v>
                </c:pt>
                <c:pt idx="72">
                  <c:v>19.780000999999999</c:v>
                </c:pt>
                <c:pt idx="73">
                  <c:v>19.709999</c:v>
                </c:pt>
                <c:pt idx="74">
                  <c:v>19.149999999999999</c:v>
                </c:pt>
                <c:pt idx="75">
                  <c:v>18.739999999999998</c:v>
                </c:pt>
                <c:pt idx="76">
                  <c:v>18.459999</c:v>
                </c:pt>
                <c:pt idx="77">
                  <c:v>18.120000999999998</c:v>
                </c:pt>
                <c:pt idx="78">
                  <c:v>18.079999999999998</c:v>
                </c:pt>
                <c:pt idx="79">
                  <c:v>18.34</c:v>
                </c:pt>
                <c:pt idx="80">
                  <c:v>18.25</c:v>
                </c:pt>
                <c:pt idx="81">
                  <c:v>18.23</c:v>
                </c:pt>
                <c:pt idx="82">
                  <c:v>18.799999</c:v>
                </c:pt>
                <c:pt idx="83">
                  <c:v>18.59</c:v>
                </c:pt>
                <c:pt idx="84">
                  <c:v>18.57</c:v>
                </c:pt>
                <c:pt idx="85">
                  <c:v>18.579999999999998</c:v>
                </c:pt>
                <c:pt idx="86">
                  <c:v>18.870000999999998</c:v>
                </c:pt>
                <c:pt idx="87">
                  <c:v>19.719999000000001</c:v>
                </c:pt>
                <c:pt idx="88">
                  <c:v>19.75</c:v>
                </c:pt>
                <c:pt idx="89">
                  <c:v>19.110001</c:v>
                </c:pt>
                <c:pt idx="90">
                  <c:v>18.899999999999999</c:v>
                </c:pt>
                <c:pt idx="91">
                  <c:v>18.57</c:v>
                </c:pt>
                <c:pt idx="92">
                  <c:v>18.200001</c:v>
                </c:pt>
                <c:pt idx="93">
                  <c:v>18.969999000000001</c:v>
                </c:pt>
                <c:pt idx="94">
                  <c:v>19.010000000000002</c:v>
                </c:pt>
                <c:pt idx="95">
                  <c:v>19.790001</c:v>
                </c:pt>
                <c:pt idx="96">
                  <c:v>19.719999000000001</c:v>
                </c:pt>
                <c:pt idx="97">
                  <c:v>19.450001</c:v>
                </c:pt>
                <c:pt idx="98">
                  <c:v>19.41</c:v>
                </c:pt>
                <c:pt idx="99">
                  <c:v>19.299999</c:v>
                </c:pt>
                <c:pt idx="100">
                  <c:v>19.489999999999998</c:v>
                </c:pt>
                <c:pt idx="101">
                  <c:v>19.399999999999999</c:v>
                </c:pt>
                <c:pt idx="102">
                  <c:v>19.489999999999998</c:v>
                </c:pt>
                <c:pt idx="103">
                  <c:v>19.579999999999998</c:v>
                </c:pt>
                <c:pt idx="104">
                  <c:v>19.059999000000001</c:v>
                </c:pt>
                <c:pt idx="105">
                  <c:v>19.5</c:v>
                </c:pt>
                <c:pt idx="106">
                  <c:v>19.52</c:v>
                </c:pt>
                <c:pt idx="107">
                  <c:v>19.5</c:v>
                </c:pt>
                <c:pt idx="108">
                  <c:v>19.799999</c:v>
                </c:pt>
                <c:pt idx="109">
                  <c:v>20.280000999999999</c:v>
                </c:pt>
                <c:pt idx="110">
                  <c:v>20.299999</c:v>
                </c:pt>
                <c:pt idx="111">
                  <c:v>20.77</c:v>
                </c:pt>
                <c:pt idx="112">
                  <c:v>19.59</c:v>
                </c:pt>
                <c:pt idx="113">
                  <c:v>19.049999</c:v>
                </c:pt>
                <c:pt idx="114">
                  <c:v>18.879999000000002</c:v>
                </c:pt>
                <c:pt idx="115">
                  <c:v>18.879999000000002</c:v>
                </c:pt>
                <c:pt idx="116">
                  <c:v>18.959999</c:v>
                </c:pt>
                <c:pt idx="117">
                  <c:v>19.549999</c:v>
                </c:pt>
                <c:pt idx="118">
                  <c:v>19.02</c:v>
                </c:pt>
                <c:pt idx="119">
                  <c:v>18.450001</c:v>
                </c:pt>
                <c:pt idx="120">
                  <c:v>18.200001</c:v>
                </c:pt>
                <c:pt idx="121">
                  <c:v>18.920000000000002</c:v>
                </c:pt>
                <c:pt idx="122">
                  <c:v>18.129999000000002</c:v>
                </c:pt>
                <c:pt idx="123">
                  <c:v>18.110001</c:v>
                </c:pt>
                <c:pt idx="124">
                  <c:v>18.290001</c:v>
                </c:pt>
                <c:pt idx="125">
                  <c:v>18.34</c:v>
                </c:pt>
                <c:pt idx="126">
                  <c:v>18.379999000000002</c:v>
                </c:pt>
                <c:pt idx="127">
                  <c:v>18.43</c:v>
                </c:pt>
                <c:pt idx="128">
                  <c:v>18.219999000000001</c:v>
                </c:pt>
                <c:pt idx="129">
                  <c:v>18.82</c:v>
                </c:pt>
                <c:pt idx="130">
                  <c:v>18.459999</c:v>
                </c:pt>
                <c:pt idx="131">
                  <c:v>18.170000000000002</c:v>
                </c:pt>
                <c:pt idx="132">
                  <c:v>18.139999</c:v>
                </c:pt>
                <c:pt idx="133">
                  <c:v>18.18</c:v>
                </c:pt>
                <c:pt idx="134">
                  <c:v>17.950001</c:v>
                </c:pt>
                <c:pt idx="135">
                  <c:v>18.32</c:v>
                </c:pt>
                <c:pt idx="136">
                  <c:v>18.290001</c:v>
                </c:pt>
                <c:pt idx="137">
                  <c:v>18.559999000000001</c:v>
                </c:pt>
                <c:pt idx="138">
                  <c:v>18.219999000000001</c:v>
                </c:pt>
                <c:pt idx="139">
                  <c:v>17.91</c:v>
                </c:pt>
                <c:pt idx="140">
                  <c:v>17.350000000000001</c:v>
                </c:pt>
                <c:pt idx="141">
                  <c:v>16.899999999999999</c:v>
                </c:pt>
                <c:pt idx="142">
                  <c:v>17.219999000000001</c:v>
                </c:pt>
                <c:pt idx="143">
                  <c:v>16.940000999999999</c:v>
                </c:pt>
                <c:pt idx="144">
                  <c:v>17.489999999999998</c:v>
                </c:pt>
                <c:pt idx="145">
                  <c:v>17.93</c:v>
                </c:pt>
                <c:pt idx="146">
                  <c:v>17.620000999999998</c:v>
                </c:pt>
                <c:pt idx="147">
                  <c:v>17.620000999999998</c:v>
                </c:pt>
                <c:pt idx="148">
                  <c:v>17.639999</c:v>
                </c:pt>
                <c:pt idx="149">
                  <c:v>17.75</c:v>
                </c:pt>
                <c:pt idx="150">
                  <c:v>17.829999999999998</c:v>
                </c:pt>
                <c:pt idx="151">
                  <c:v>17.510000000000002</c:v>
                </c:pt>
                <c:pt idx="152">
                  <c:v>17.920000000000002</c:v>
                </c:pt>
                <c:pt idx="153">
                  <c:v>16.91</c:v>
                </c:pt>
                <c:pt idx="154">
                  <c:v>16</c:v>
                </c:pt>
                <c:pt idx="155">
                  <c:v>16.860001</c:v>
                </c:pt>
                <c:pt idx="156">
                  <c:v>16.48</c:v>
                </c:pt>
                <c:pt idx="157">
                  <c:v>16.889999</c:v>
                </c:pt>
                <c:pt idx="158">
                  <c:v>17.09</c:v>
                </c:pt>
                <c:pt idx="159">
                  <c:v>16.73</c:v>
                </c:pt>
                <c:pt idx="160">
                  <c:v>17.129999000000002</c:v>
                </c:pt>
                <c:pt idx="161">
                  <c:v>16.670000000000002</c:v>
                </c:pt>
                <c:pt idx="162">
                  <c:v>16.219999000000001</c:v>
                </c:pt>
                <c:pt idx="163">
                  <c:v>16.100000000000001</c:v>
                </c:pt>
                <c:pt idx="164">
                  <c:v>16.379999000000002</c:v>
                </c:pt>
                <c:pt idx="165">
                  <c:v>15.99</c:v>
                </c:pt>
                <c:pt idx="166">
                  <c:v>16.18</c:v>
                </c:pt>
                <c:pt idx="167">
                  <c:v>15.85</c:v>
                </c:pt>
                <c:pt idx="168">
                  <c:v>15.62</c:v>
                </c:pt>
                <c:pt idx="169">
                  <c:v>15.47</c:v>
                </c:pt>
                <c:pt idx="170">
                  <c:v>15.98</c:v>
                </c:pt>
                <c:pt idx="171">
                  <c:v>16.079999999999998</c:v>
                </c:pt>
                <c:pt idx="172">
                  <c:v>15.96</c:v>
                </c:pt>
                <c:pt idx="173">
                  <c:v>16.73</c:v>
                </c:pt>
                <c:pt idx="174">
                  <c:v>16.809999000000001</c:v>
                </c:pt>
                <c:pt idx="175">
                  <c:v>17.110001</c:v>
                </c:pt>
                <c:pt idx="176">
                  <c:v>16.209999</c:v>
                </c:pt>
                <c:pt idx="177">
                  <c:v>16.48</c:v>
                </c:pt>
                <c:pt idx="178">
                  <c:v>16.209999</c:v>
                </c:pt>
                <c:pt idx="179">
                  <c:v>16.170000000000002</c:v>
                </c:pt>
                <c:pt idx="180">
                  <c:v>15.99</c:v>
                </c:pt>
                <c:pt idx="181">
                  <c:v>15.98</c:v>
                </c:pt>
                <c:pt idx="182">
                  <c:v>15.68</c:v>
                </c:pt>
                <c:pt idx="183">
                  <c:v>15.45</c:v>
                </c:pt>
                <c:pt idx="184">
                  <c:v>15.22</c:v>
                </c:pt>
                <c:pt idx="185">
                  <c:v>14.87</c:v>
                </c:pt>
                <c:pt idx="186">
                  <c:v>14.81</c:v>
                </c:pt>
                <c:pt idx="187">
                  <c:v>14.68</c:v>
                </c:pt>
                <c:pt idx="188">
                  <c:v>14.1</c:v>
                </c:pt>
                <c:pt idx="189">
                  <c:v>14.08</c:v>
                </c:pt>
                <c:pt idx="190">
                  <c:v>14.22</c:v>
                </c:pt>
                <c:pt idx="191">
                  <c:v>14.07</c:v>
                </c:pt>
                <c:pt idx="192">
                  <c:v>13.96</c:v>
                </c:pt>
                <c:pt idx="193">
                  <c:v>14.1</c:v>
                </c:pt>
                <c:pt idx="194">
                  <c:v>13.5</c:v>
                </c:pt>
                <c:pt idx="195">
                  <c:v>13.48</c:v>
                </c:pt>
                <c:pt idx="196">
                  <c:v>13.37</c:v>
                </c:pt>
                <c:pt idx="197">
                  <c:v>13.09</c:v>
                </c:pt>
                <c:pt idx="198">
                  <c:v>13.16</c:v>
                </c:pt>
                <c:pt idx="199">
                  <c:v>13.65</c:v>
                </c:pt>
                <c:pt idx="200">
                  <c:v>13.13</c:v>
                </c:pt>
                <c:pt idx="201">
                  <c:v>12.54</c:v>
                </c:pt>
                <c:pt idx="202">
                  <c:v>12.11</c:v>
                </c:pt>
                <c:pt idx="203">
                  <c:v>11.82</c:v>
                </c:pt>
                <c:pt idx="204">
                  <c:v>12.15</c:v>
                </c:pt>
                <c:pt idx="205">
                  <c:v>11.96</c:v>
                </c:pt>
                <c:pt idx="206">
                  <c:v>12.31</c:v>
                </c:pt>
                <c:pt idx="207">
                  <c:v>12.1</c:v>
                </c:pt>
                <c:pt idx="208">
                  <c:v>11.85</c:v>
                </c:pt>
                <c:pt idx="209">
                  <c:v>12.57</c:v>
                </c:pt>
                <c:pt idx="210">
                  <c:v>12.38</c:v>
                </c:pt>
                <c:pt idx="211">
                  <c:v>13.08</c:v>
                </c:pt>
                <c:pt idx="212">
                  <c:v>14.58</c:v>
                </c:pt>
                <c:pt idx="213">
                  <c:v>13.71</c:v>
                </c:pt>
                <c:pt idx="214">
                  <c:v>13.86</c:v>
                </c:pt>
                <c:pt idx="215">
                  <c:v>13.61</c:v>
                </c:pt>
                <c:pt idx="216">
                  <c:v>13.06</c:v>
                </c:pt>
                <c:pt idx="217">
                  <c:v>12.83</c:v>
                </c:pt>
                <c:pt idx="218">
                  <c:v>12.63</c:v>
                </c:pt>
                <c:pt idx="219">
                  <c:v>13.03</c:v>
                </c:pt>
                <c:pt idx="220">
                  <c:v>12.85</c:v>
                </c:pt>
                <c:pt idx="221">
                  <c:v>12.38</c:v>
                </c:pt>
                <c:pt idx="222">
                  <c:v>12.43</c:v>
                </c:pt>
                <c:pt idx="223">
                  <c:v>12.55</c:v>
                </c:pt>
                <c:pt idx="224">
                  <c:v>12.51</c:v>
                </c:pt>
                <c:pt idx="225">
                  <c:v>12.88</c:v>
                </c:pt>
                <c:pt idx="226">
                  <c:v>12.92</c:v>
                </c:pt>
                <c:pt idx="227">
                  <c:v>12.9</c:v>
                </c:pt>
                <c:pt idx="228">
                  <c:v>13.02</c:v>
                </c:pt>
                <c:pt idx="229">
                  <c:v>13.45</c:v>
                </c:pt>
                <c:pt idx="230">
                  <c:v>13.39</c:v>
                </c:pt>
                <c:pt idx="231">
                  <c:v>13.53</c:v>
                </c:pt>
                <c:pt idx="232">
                  <c:v>14.28</c:v>
                </c:pt>
                <c:pt idx="233">
                  <c:v>12.25</c:v>
                </c:pt>
                <c:pt idx="234">
                  <c:v>12.5</c:v>
                </c:pt>
                <c:pt idx="235">
                  <c:v>12.04</c:v>
                </c:pt>
                <c:pt idx="236">
                  <c:v>11.57</c:v>
                </c:pt>
                <c:pt idx="237">
                  <c:v>11.41</c:v>
                </c:pt>
                <c:pt idx="238">
                  <c:v>11.33</c:v>
                </c:pt>
                <c:pt idx="239">
                  <c:v>11.16</c:v>
                </c:pt>
                <c:pt idx="240">
                  <c:v>10.98</c:v>
                </c:pt>
                <c:pt idx="241">
                  <c:v>10.88</c:v>
                </c:pt>
                <c:pt idx="242">
                  <c:v>11.4</c:v>
                </c:pt>
                <c:pt idx="243">
                  <c:v>11.36</c:v>
                </c:pt>
                <c:pt idx="244">
                  <c:v>10.97</c:v>
                </c:pt>
                <c:pt idx="245">
                  <c:v>10.74</c:v>
                </c:pt>
                <c:pt idx="246">
                  <c:v>10.23</c:v>
                </c:pt>
                <c:pt idx="247">
                  <c:v>10.8</c:v>
                </c:pt>
                <c:pt idx="248">
                  <c:v>10.92</c:v>
                </c:pt>
                <c:pt idx="249">
                  <c:v>10.94</c:v>
                </c:pt>
                <c:pt idx="250">
                  <c:v>10.91</c:v>
                </c:pt>
                <c:pt idx="251">
                  <c:v>11.51</c:v>
                </c:pt>
                <c:pt idx="252">
                  <c:v>11.48</c:v>
                </c:pt>
                <c:pt idx="253">
                  <c:v>12.1</c:v>
                </c:pt>
                <c:pt idx="254">
                  <c:v>12.5</c:v>
                </c:pt>
                <c:pt idx="255">
                  <c:v>12.59</c:v>
                </c:pt>
                <c:pt idx="256">
                  <c:v>12.93</c:v>
                </c:pt>
                <c:pt idx="257">
                  <c:v>12.4</c:v>
                </c:pt>
                <c:pt idx="258">
                  <c:v>12.42</c:v>
                </c:pt>
                <c:pt idx="259">
                  <c:v>12.4</c:v>
                </c:pt>
                <c:pt idx="260">
                  <c:v>12.21</c:v>
                </c:pt>
                <c:pt idx="261">
                  <c:v>12.15</c:v>
                </c:pt>
                <c:pt idx="262">
                  <c:v>12.5</c:v>
                </c:pt>
                <c:pt idx="263">
                  <c:v>12.52</c:v>
                </c:pt>
                <c:pt idx="264">
                  <c:v>12.37</c:v>
                </c:pt>
                <c:pt idx="265">
                  <c:v>12.1</c:v>
                </c:pt>
                <c:pt idx="266">
                  <c:v>12.6</c:v>
                </c:pt>
                <c:pt idx="267">
                  <c:v>12.69</c:v>
                </c:pt>
                <c:pt idx="268">
                  <c:v>12.79</c:v>
                </c:pt>
                <c:pt idx="269">
                  <c:v>12.79</c:v>
                </c:pt>
                <c:pt idx="270">
                  <c:v>12.98</c:v>
                </c:pt>
                <c:pt idx="271">
                  <c:v>13.22</c:v>
                </c:pt>
                <c:pt idx="272">
                  <c:v>13.31</c:v>
                </c:pt>
                <c:pt idx="273">
                  <c:v>13.42</c:v>
                </c:pt>
                <c:pt idx="274">
                  <c:v>13.52</c:v>
                </c:pt>
                <c:pt idx="275">
                  <c:v>13.3</c:v>
                </c:pt>
                <c:pt idx="276">
                  <c:v>13.02</c:v>
                </c:pt>
                <c:pt idx="277">
                  <c:v>12.79</c:v>
                </c:pt>
                <c:pt idx="278">
                  <c:v>13.05</c:v>
                </c:pt>
                <c:pt idx="279">
                  <c:v>13.59</c:v>
                </c:pt>
                <c:pt idx="280">
                  <c:v>13.56</c:v>
                </c:pt>
                <c:pt idx="281">
                  <c:v>13.52</c:v>
                </c:pt>
                <c:pt idx="282">
                  <c:v>13.62</c:v>
                </c:pt>
                <c:pt idx="283">
                  <c:v>14.13</c:v>
                </c:pt>
                <c:pt idx="284">
                  <c:v>13.79</c:v>
                </c:pt>
                <c:pt idx="285">
                  <c:v>13.85</c:v>
                </c:pt>
                <c:pt idx="286">
                  <c:v>14.19</c:v>
                </c:pt>
                <c:pt idx="287">
                  <c:v>13.99</c:v>
                </c:pt>
                <c:pt idx="288">
                  <c:v>13.97</c:v>
                </c:pt>
                <c:pt idx="289">
                  <c:v>13.73</c:v>
                </c:pt>
                <c:pt idx="290">
                  <c:v>13.93</c:v>
                </c:pt>
                <c:pt idx="291">
                  <c:v>14.03</c:v>
                </c:pt>
                <c:pt idx="292">
                  <c:v>14.57</c:v>
                </c:pt>
                <c:pt idx="293">
                  <c:v>13.81</c:v>
                </c:pt>
                <c:pt idx="294">
                  <c:v>13.52</c:v>
                </c:pt>
                <c:pt idx="295">
                  <c:v>13.46</c:v>
                </c:pt>
                <c:pt idx="296">
                  <c:v>13.64</c:v>
                </c:pt>
                <c:pt idx="297">
                  <c:v>13.79</c:v>
                </c:pt>
                <c:pt idx="298">
                  <c:v>13.79</c:v>
                </c:pt>
                <c:pt idx="299">
                  <c:v>13.6</c:v>
                </c:pt>
                <c:pt idx="300">
                  <c:v>13.58</c:v>
                </c:pt>
                <c:pt idx="301">
                  <c:v>13.51</c:v>
                </c:pt>
                <c:pt idx="302">
                  <c:v>13.67</c:v>
                </c:pt>
                <c:pt idx="303">
                  <c:v>13.29</c:v>
                </c:pt>
                <c:pt idx="304">
                  <c:v>13.02</c:v>
                </c:pt>
                <c:pt idx="305">
                  <c:v>13.19</c:v>
                </c:pt>
                <c:pt idx="306">
                  <c:v>12.55</c:v>
                </c:pt>
                <c:pt idx="307">
                  <c:v>12.77</c:v>
                </c:pt>
                <c:pt idx="308">
                  <c:v>12.75</c:v>
                </c:pt>
                <c:pt idx="309">
                  <c:v>13.08</c:v>
                </c:pt>
                <c:pt idx="310">
                  <c:v>13.18</c:v>
                </c:pt>
                <c:pt idx="311">
                  <c:v>13.34</c:v>
                </c:pt>
                <c:pt idx="312">
                  <c:v>13.72</c:v>
                </c:pt>
                <c:pt idx="313">
                  <c:v>13.48</c:v>
                </c:pt>
                <c:pt idx="314">
                  <c:v>13.63</c:v>
                </c:pt>
                <c:pt idx="315">
                  <c:v>14.2</c:v>
                </c:pt>
                <c:pt idx="316">
                  <c:v>14.2</c:v>
                </c:pt>
                <c:pt idx="317">
                  <c:v>14.42</c:v>
                </c:pt>
                <c:pt idx="318">
                  <c:v>14.04</c:v>
                </c:pt>
                <c:pt idx="319">
                  <c:v>14.15</c:v>
                </c:pt>
                <c:pt idx="320">
                  <c:v>14.34</c:v>
                </c:pt>
                <c:pt idx="321">
                  <c:v>14.4</c:v>
                </c:pt>
                <c:pt idx="322">
                  <c:v>14.27</c:v>
                </c:pt>
                <c:pt idx="323">
                  <c:v>14.05</c:v>
                </c:pt>
                <c:pt idx="324">
                  <c:v>14</c:v>
                </c:pt>
                <c:pt idx="325">
                  <c:v>14.09</c:v>
                </c:pt>
                <c:pt idx="326">
                  <c:v>13.54</c:v>
                </c:pt>
                <c:pt idx="327">
                  <c:v>13.95</c:v>
                </c:pt>
                <c:pt idx="328">
                  <c:v>14</c:v>
                </c:pt>
                <c:pt idx="329">
                  <c:v>13.74</c:v>
                </c:pt>
                <c:pt idx="330">
                  <c:v>13.94</c:v>
                </c:pt>
                <c:pt idx="331">
                  <c:v>14.16</c:v>
                </c:pt>
                <c:pt idx="332">
                  <c:v>13.78</c:v>
                </c:pt>
                <c:pt idx="333">
                  <c:v>14.35</c:v>
                </c:pt>
                <c:pt idx="334">
                  <c:v>14.71</c:v>
                </c:pt>
                <c:pt idx="335">
                  <c:v>16.790001</c:v>
                </c:pt>
                <c:pt idx="336">
                  <c:v>16.82</c:v>
                </c:pt>
                <c:pt idx="337">
                  <c:v>16.700001</c:v>
                </c:pt>
                <c:pt idx="338">
                  <c:v>16.600000000000001</c:v>
                </c:pt>
                <c:pt idx="339">
                  <c:v>16.700001</c:v>
                </c:pt>
                <c:pt idx="340">
                  <c:v>16.48</c:v>
                </c:pt>
                <c:pt idx="341">
                  <c:v>15.81</c:v>
                </c:pt>
                <c:pt idx="342">
                  <c:v>16.079999999999998</c:v>
                </c:pt>
                <c:pt idx="343">
                  <c:v>16.149999999999999</c:v>
                </c:pt>
                <c:pt idx="344">
                  <c:v>15.97</c:v>
                </c:pt>
                <c:pt idx="345">
                  <c:v>15.82</c:v>
                </c:pt>
                <c:pt idx="346">
                  <c:v>15.4</c:v>
                </c:pt>
                <c:pt idx="347">
                  <c:v>15.94</c:v>
                </c:pt>
                <c:pt idx="348">
                  <c:v>15.58</c:v>
                </c:pt>
                <c:pt idx="349">
                  <c:v>14.98</c:v>
                </c:pt>
                <c:pt idx="350">
                  <c:v>15.06</c:v>
                </c:pt>
                <c:pt idx="351">
                  <c:v>14.73</c:v>
                </c:pt>
                <c:pt idx="352">
                  <c:v>14.57</c:v>
                </c:pt>
                <c:pt idx="353">
                  <c:v>14.42</c:v>
                </c:pt>
                <c:pt idx="354">
                  <c:v>14.08</c:v>
                </c:pt>
                <c:pt idx="355">
                  <c:v>14.13</c:v>
                </c:pt>
                <c:pt idx="356">
                  <c:v>14.92</c:v>
                </c:pt>
                <c:pt idx="357">
                  <c:v>14.79</c:v>
                </c:pt>
                <c:pt idx="358">
                  <c:v>14.69</c:v>
                </c:pt>
                <c:pt idx="359">
                  <c:v>14.6</c:v>
                </c:pt>
                <c:pt idx="360">
                  <c:v>14.88</c:v>
                </c:pt>
                <c:pt idx="361">
                  <c:v>14.75</c:v>
                </c:pt>
                <c:pt idx="362">
                  <c:v>14.91</c:v>
                </c:pt>
                <c:pt idx="363">
                  <c:v>15.35</c:v>
                </c:pt>
                <c:pt idx="364">
                  <c:v>15.43</c:v>
                </c:pt>
                <c:pt idx="365">
                  <c:v>15.23</c:v>
                </c:pt>
                <c:pt idx="366">
                  <c:v>15.31</c:v>
                </c:pt>
                <c:pt idx="367">
                  <c:v>15.31</c:v>
                </c:pt>
                <c:pt idx="368">
                  <c:v>15.71</c:v>
                </c:pt>
                <c:pt idx="369">
                  <c:v>15.25</c:v>
                </c:pt>
                <c:pt idx="370">
                  <c:v>15.37</c:v>
                </c:pt>
                <c:pt idx="371">
                  <c:v>15.42</c:v>
                </c:pt>
                <c:pt idx="372">
                  <c:v>15.37</c:v>
                </c:pt>
                <c:pt idx="373">
                  <c:v>16.25</c:v>
                </c:pt>
                <c:pt idx="374">
                  <c:v>16.860001</c:v>
                </c:pt>
                <c:pt idx="375">
                  <c:v>16.959999</c:v>
                </c:pt>
                <c:pt idx="376">
                  <c:v>16.98</c:v>
                </c:pt>
                <c:pt idx="377">
                  <c:v>16.959999</c:v>
                </c:pt>
                <c:pt idx="378">
                  <c:v>16.969999000000001</c:v>
                </c:pt>
                <c:pt idx="379">
                  <c:v>17.010000000000002</c:v>
                </c:pt>
                <c:pt idx="380">
                  <c:v>16.75</c:v>
                </c:pt>
                <c:pt idx="381">
                  <c:v>16.84</c:v>
                </c:pt>
                <c:pt idx="382">
                  <c:v>16.899999999999999</c:v>
                </c:pt>
                <c:pt idx="383">
                  <c:v>17.010000000000002</c:v>
                </c:pt>
                <c:pt idx="384">
                  <c:v>16.84</c:v>
                </c:pt>
                <c:pt idx="385">
                  <c:v>16.889999</c:v>
                </c:pt>
                <c:pt idx="386">
                  <c:v>16.510000000000002</c:v>
                </c:pt>
                <c:pt idx="387">
                  <c:v>16.530000999999999</c:v>
                </c:pt>
                <c:pt idx="388">
                  <c:v>16.350000000000001</c:v>
                </c:pt>
                <c:pt idx="389">
                  <c:v>16.200001</c:v>
                </c:pt>
                <c:pt idx="390">
                  <c:v>16.59</c:v>
                </c:pt>
                <c:pt idx="391">
                  <c:v>17.23</c:v>
                </c:pt>
                <c:pt idx="392">
                  <c:v>17.370000999999998</c:v>
                </c:pt>
                <c:pt idx="393">
                  <c:v>17.34</c:v>
                </c:pt>
                <c:pt idx="394">
                  <c:v>16.870000999999998</c:v>
                </c:pt>
                <c:pt idx="395">
                  <c:v>17.350000000000001</c:v>
                </c:pt>
                <c:pt idx="396">
                  <c:v>17.18</c:v>
                </c:pt>
                <c:pt idx="397">
                  <c:v>16.799999</c:v>
                </c:pt>
                <c:pt idx="398">
                  <c:v>18.870000999999998</c:v>
                </c:pt>
                <c:pt idx="399">
                  <c:v>18.899999999999999</c:v>
                </c:pt>
                <c:pt idx="400">
                  <c:v>18.98</c:v>
                </c:pt>
                <c:pt idx="401">
                  <c:v>19.629999000000002</c:v>
                </c:pt>
                <c:pt idx="402">
                  <c:v>20.120000999999998</c:v>
                </c:pt>
                <c:pt idx="403">
                  <c:v>20.149999999999999</c:v>
                </c:pt>
                <c:pt idx="404">
                  <c:v>19.66</c:v>
                </c:pt>
                <c:pt idx="405">
                  <c:v>19.209999</c:v>
                </c:pt>
                <c:pt idx="406">
                  <c:v>18.700001</c:v>
                </c:pt>
                <c:pt idx="407">
                  <c:v>18.719999000000001</c:v>
                </c:pt>
                <c:pt idx="408">
                  <c:v>18.93</c:v>
                </c:pt>
                <c:pt idx="409">
                  <c:v>19.139999</c:v>
                </c:pt>
                <c:pt idx="410">
                  <c:v>19.120000999999998</c:v>
                </c:pt>
                <c:pt idx="411">
                  <c:v>19.610001</c:v>
                </c:pt>
                <c:pt idx="412">
                  <c:v>19.610001</c:v>
                </c:pt>
                <c:pt idx="413">
                  <c:v>18.82</c:v>
                </c:pt>
                <c:pt idx="414">
                  <c:v>19.209999</c:v>
                </c:pt>
                <c:pt idx="415">
                  <c:v>18.870000999999998</c:v>
                </c:pt>
                <c:pt idx="416">
                  <c:v>19.149999999999999</c:v>
                </c:pt>
                <c:pt idx="417">
                  <c:v>19.450001</c:v>
                </c:pt>
                <c:pt idx="418">
                  <c:v>19.450001</c:v>
                </c:pt>
                <c:pt idx="419">
                  <c:v>18.93</c:v>
                </c:pt>
                <c:pt idx="420">
                  <c:v>19.059999000000001</c:v>
                </c:pt>
                <c:pt idx="421">
                  <c:v>19.209999</c:v>
                </c:pt>
                <c:pt idx="422">
                  <c:v>19.07</c:v>
                </c:pt>
                <c:pt idx="423">
                  <c:v>19.43</c:v>
                </c:pt>
                <c:pt idx="424">
                  <c:v>19.760000000000002</c:v>
                </c:pt>
                <c:pt idx="425">
                  <c:v>19.950001</c:v>
                </c:pt>
                <c:pt idx="426">
                  <c:v>19.989999999999998</c:v>
                </c:pt>
                <c:pt idx="427">
                  <c:v>20.190000999999999</c:v>
                </c:pt>
                <c:pt idx="428">
                  <c:v>20.23</c:v>
                </c:pt>
                <c:pt idx="429">
                  <c:v>20.34</c:v>
                </c:pt>
                <c:pt idx="430">
                  <c:v>20.49</c:v>
                </c:pt>
                <c:pt idx="431">
                  <c:v>20.559999000000001</c:v>
                </c:pt>
                <c:pt idx="432">
                  <c:v>20.260000000000002</c:v>
                </c:pt>
                <c:pt idx="433">
                  <c:v>20.41</c:v>
                </c:pt>
                <c:pt idx="434">
                  <c:v>20.239999999999998</c:v>
                </c:pt>
                <c:pt idx="435">
                  <c:v>20.68</c:v>
                </c:pt>
                <c:pt idx="436">
                  <c:v>20.549999</c:v>
                </c:pt>
                <c:pt idx="437">
                  <c:v>20.389999</c:v>
                </c:pt>
                <c:pt idx="438">
                  <c:v>20.58</c:v>
                </c:pt>
                <c:pt idx="439">
                  <c:v>20.43</c:v>
                </c:pt>
                <c:pt idx="440">
                  <c:v>20.27</c:v>
                </c:pt>
                <c:pt idx="441">
                  <c:v>20.110001</c:v>
                </c:pt>
                <c:pt idx="442">
                  <c:v>20.5</c:v>
                </c:pt>
                <c:pt idx="443">
                  <c:v>20.299999</c:v>
                </c:pt>
                <c:pt idx="444">
                  <c:v>20.399999999999999</c:v>
                </c:pt>
                <c:pt idx="445">
                  <c:v>20.799999</c:v>
                </c:pt>
                <c:pt idx="446">
                  <c:v>20.73</c:v>
                </c:pt>
                <c:pt idx="447">
                  <c:v>20.67</c:v>
                </c:pt>
                <c:pt idx="448">
                  <c:v>20.58</c:v>
                </c:pt>
                <c:pt idx="449">
                  <c:v>21.540001</c:v>
                </c:pt>
                <c:pt idx="450">
                  <c:v>22.440000999999999</c:v>
                </c:pt>
                <c:pt idx="451">
                  <c:v>22.73</c:v>
                </c:pt>
                <c:pt idx="452">
                  <c:v>22.889999</c:v>
                </c:pt>
                <c:pt idx="453">
                  <c:v>23.33</c:v>
                </c:pt>
                <c:pt idx="454">
                  <c:v>23.049999</c:v>
                </c:pt>
                <c:pt idx="455">
                  <c:v>22.780000999999999</c:v>
                </c:pt>
                <c:pt idx="456">
                  <c:v>22.700001</c:v>
                </c:pt>
                <c:pt idx="457">
                  <c:v>22.92</c:v>
                </c:pt>
                <c:pt idx="458">
                  <c:v>22.84</c:v>
                </c:pt>
                <c:pt idx="459">
                  <c:v>22.870000999999998</c:v>
                </c:pt>
                <c:pt idx="460">
                  <c:v>22.360001</c:v>
                </c:pt>
                <c:pt idx="461">
                  <c:v>22.610001</c:v>
                </c:pt>
                <c:pt idx="462">
                  <c:v>24.299999</c:v>
                </c:pt>
                <c:pt idx="463">
                  <c:v>24.440000999999999</c:v>
                </c:pt>
                <c:pt idx="464">
                  <c:v>23.799999</c:v>
                </c:pt>
                <c:pt idx="465">
                  <c:v>24.129999000000002</c:v>
                </c:pt>
                <c:pt idx="466">
                  <c:v>23.559999000000001</c:v>
                </c:pt>
                <c:pt idx="467">
                  <c:v>24.190000999999999</c:v>
                </c:pt>
                <c:pt idx="468">
                  <c:v>24.360001</c:v>
                </c:pt>
                <c:pt idx="469">
                  <c:v>24.75</c:v>
                </c:pt>
                <c:pt idx="470">
                  <c:v>24.76</c:v>
                </c:pt>
                <c:pt idx="471">
                  <c:v>25.24</c:v>
                </c:pt>
                <c:pt idx="472">
                  <c:v>25.049999</c:v>
                </c:pt>
                <c:pt idx="473">
                  <c:v>25.34</c:v>
                </c:pt>
                <c:pt idx="474">
                  <c:v>25.379999000000002</c:v>
                </c:pt>
                <c:pt idx="475">
                  <c:v>25.360001</c:v>
                </c:pt>
                <c:pt idx="476">
                  <c:v>24.860001</c:v>
                </c:pt>
                <c:pt idx="477">
                  <c:v>25.02</c:v>
                </c:pt>
                <c:pt idx="478">
                  <c:v>25.52</c:v>
                </c:pt>
                <c:pt idx="479">
                  <c:v>25.719999000000001</c:v>
                </c:pt>
                <c:pt idx="480">
                  <c:v>25.9</c:v>
                </c:pt>
                <c:pt idx="481">
                  <c:v>25.41</c:v>
                </c:pt>
                <c:pt idx="482">
                  <c:v>25.139999</c:v>
                </c:pt>
                <c:pt idx="483">
                  <c:v>25.18</c:v>
                </c:pt>
                <c:pt idx="484">
                  <c:v>25.219999000000001</c:v>
                </c:pt>
                <c:pt idx="485">
                  <c:v>25.690000999999999</c:v>
                </c:pt>
                <c:pt idx="486">
                  <c:v>25.299999</c:v>
                </c:pt>
                <c:pt idx="487">
                  <c:v>25.690000999999999</c:v>
                </c:pt>
                <c:pt idx="488">
                  <c:v>25.67</c:v>
                </c:pt>
                <c:pt idx="489">
                  <c:v>25.92</c:v>
                </c:pt>
                <c:pt idx="490">
                  <c:v>25.299999</c:v>
                </c:pt>
                <c:pt idx="491">
                  <c:v>25.360001</c:v>
                </c:pt>
                <c:pt idx="492">
                  <c:v>25.33</c:v>
                </c:pt>
                <c:pt idx="493">
                  <c:v>25.540001</c:v>
                </c:pt>
                <c:pt idx="494">
                  <c:v>25.24</c:v>
                </c:pt>
                <c:pt idx="495">
                  <c:v>24.84</c:v>
                </c:pt>
                <c:pt idx="496">
                  <c:v>24.91</c:v>
                </c:pt>
                <c:pt idx="497">
                  <c:v>24.940000999999999</c:v>
                </c:pt>
                <c:pt idx="498">
                  <c:v>25.43</c:v>
                </c:pt>
                <c:pt idx="499">
                  <c:v>25.389999</c:v>
                </c:pt>
                <c:pt idx="500">
                  <c:v>25.450001</c:v>
                </c:pt>
                <c:pt idx="501">
                  <c:v>25.43</c:v>
                </c:pt>
                <c:pt idx="502">
                  <c:v>25.41</c:v>
                </c:pt>
                <c:pt idx="503">
                  <c:v>25.41</c:v>
                </c:pt>
                <c:pt idx="504">
                  <c:v>25.219999000000001</c:v>
                </c:pt>
                <c:pt idx="505">
                  <c:v>25.74</c:v>
                </c:pt>
                <c:pt idx="506">
                  <c:v>25.93</c:v>
                </c:pt>
                <c:pt idx="507">
                  <c:v>26.190000999999999</c:v>
                </c:pt>
                <c:pt idx="508">
                  <c:v>26.290001</c:v>
                </c:pt>
                <c:pt idx="509">
                  <c:v>26.370000999999998</c:v>
                </c:pt>
                <c:pt idx="510">
                  <c:v>26.790001</c:v>
                </c:pt>
                <c:pt idx="511">
                  <c:v>26.43</c:v>
                </c:pt>
                <c:pt idx="512">
                  <c:v>27.110001</c:v>
                </c:pt>
                <c:pt idx="513">
                  <c:v>27.030000999999999</c:v>
                </c:pt>
                <c:pt idx="514">
                  <c:v>26.82</c:v>
                </c:pt>
                <c:pt idx="515">
                  <c:v>27.129999000000002</c:v>
                </c:pt>
                <c:pt idx="516">
                  <c:v>26.870000999999998</c:v>
                </c:pt>
                <c:pt idx="517">
                  <c:v>26.92</c:v>
                </c:pt>
                <c:pt idx="518">
                  <c:v>26.35</c:v>
                </c:pt>
                <c:pt idx="519">
                  <c:v>26.48</c:v>
                </c:pt>
                <c:pt idx="520">
                  <c:v>26.99</c:v>
                </c:pt>
                <c:pt idx="521">
                  <c:v>26.360001</c:v>
                </c:pt>
                <c:pt idx="522">
                  <c:v>26.08</c:v>
                </c:pt>
                <c:pt idx="523">
                  <c:v>24.799999</c:v>
                </c:pt>
                <c:pt idx="524">
                  <c:v>24.65</c:v>
                </c:pt>
                <c:pt idx="525">
                  <c:v>25.059999000000001</c:v>
                </c:pt>
                <c:pt idx="526">
                  <c:v>26.1</c:v>
                </c:pt>
                <c:pt idx="527">
                  <c:v>25.110001</c:v>
                </c:pt>
                <c:pt idx="528">
                  <c:v>24.530000999999999</c:v>
                </c:pt>
                <c:pt idx="529">
                  <c:v>25.110001</c:v>
                </c:pt>
                <c:pt idx="530">
                  <c:v>25.610001</c:v>
                </c:pt>
                <c:pt idx="531">
                  <c:v>26.68</c:v>
                </c:pt>
                <c:pt idx="532">
                  <c:v>27.700001</c:v>
                </c:pt>
                <c:pt idx="533">
                  <c:v>27.190000999999999</c:v>
                </c:pt>
                <c:pt idx="534">
                  <c:v>27.27</c:v>
                </c:pt>
                <c:pt idx="535">
                  <c:v>27.959999</c:v>
                </c:pt>
                <c:pt idx="536">
                  <c:v>28.18</c:v>
                </c:pt>
                <c:pt idx="537">
                  <c:v>26.690000999999999</c:v>
                </c:pt>
                <c:pt idx="538">
                  <c:v>26.700001</c:v>
                </c:pt>
                <c:pt idx="539">
                  <c:v>24.719999000000001</c:v>
                </c:pt>
                <c:pt idx="540">
                  <c:v>23.27</c:v>
                </c:pt>
                <c:pt idx="541">
                  <c:v>22.99</c:v>
                </c:pt>
                <c:pt idx="542">
                  <c:v>22.709999</c:v>
                </c:pt>
                <c:pt idx="543">
                  <c:v>24.17</c:v>
                </c:pt>
                <c:pt idx="544">
                  <c:v>23.719999000000001</c:v>
                </c:pt>
                <c:pt idx="545">
                  <c:v>25.639999</c:v>
                </c:pt>
                <c:pt idx="546">
                  <c:v>24.469999000000001</c:v>
                </c:pt>
                <c:pt idx="547">
                  <c:v>22.08</c:v>
                </c:pt>
                <c:pt idx="548">
                  <c:v>18.969999000000001</c:v>
                </c:pt>
                <c:pt idx="549">
                  <c:v>20.67</c:v>
                </c:pt>
                <c:pt idx="550">
                  <c:v>19.110001</c:v>
                </c:pt>
                <c:pt idx="551">
                  <c:v>14.76</c:v>
                </c:pt>
                <c:pt idx="552">
                  <c:v>15.9</c:v>
                </c:pt>
                <c:pt idx="553">
                  <c:v>12.2</c:v>
                </c:pt>
                <c:pt idx="554">
                  <c:v>11.29</c:v>
                </c:pt>
                <c:pt idx="555">
                  <c:v>10.65</c:v>
                </c:pt>
                <c:pt idx="556">
                  <c:v>12.01</c:v>
                </c:pt>
                <c:pt idx="557">
                  <c:v>11.4</c:v>
                </c:pt>
                <c:pt idx="558">
                  <c:v>11.12</c:v>
                </c:pt>
                <c:pt idx="559">
                  <c:v>13.72</c:v>
                </c:pt>
                <c:pt idx="560">
                  <c:v>14.63</c:v>
                </c:pt>
                <c:pt idx="561">
                  <c:v>14.18</c:v>
                </c:pt>
                <c:pt idx="562">
                  <c:v>13.33</c:v>
                </c:pt>
                <c:pt idx="563">
                  <c:v>12.86</c:v>
                </c:pt>
                <c:pt idx="564">
                  <c:v>12.23</c:v>
                </c:pt>
                <c:pt idx="565">
                  <c:v>11.48</c:v>
                </c:pt>
                <c:pt idx="566">
                  <c:v>11.54</c:v>
                </c:pt>
                <c:pt idx="567">
                  <c:v>10.91</c:v>
                </c:pt>
                <c:pt idx="568">
                  <c:v>12.81</c:v>
                </c:pt>
                <c:pt idx="569">
                  <c:v>13.59</c:v>
                </c:pt>
                <c:pt idx="570">
                  <c:v>13.58</c:v>
                </c:pt>
                <c:pt idx="571">
                  <c:v>15.04</c:v>
                </c:pt>
                <c:pt idx="572">
                  <c:v>13.83</c:v>
                </c:pt>
                <c:pt idx="573">
                  <c:v>14.14</c:v>
                </c:pt>
                <c:pt idx="574">
                  <c:v>13.25</c:v>
                </c:pt>
                <c:pt idx="575">
                  <c:v>12.95</c:v>
                </c:pt>
                <c:pt idx="576">
                  <c:v>14.62</c:v>
                </c:pt>
                <c:pt idx="577">
                  <c:v>13.94</c:v>
                </c:pt>
                <c:pt idx="578">
                  <c:v>13.48</c:v>
                </c:pt>
                <c:pt idx="579">
                  <c:v>13.46</c:v>
                </c:pt>
                <c:pt idx="580">
                  <c:v>13.96</c:v>
                </c:pt>
                <c:pt idx="581">
                  <c:v>14.73</c:v>
                </c:pt>
                <c:pt idx="582">
                  <c:v>15.8</c:v>
                </c:pt>
                <c:pt idx="583">
                  <c:v>17.299999</c:v>
                </c:pt>
                <c:pt idx="584">
                  <c:v>19.540001</c:v>
                </c:pt>
                <c:pt idx="585">
                  <c:v>18.350000000000001</c:v>
                </c:pt>
                <c:pt idx="586">
                  <c:v>17.239999999999998</c:v>
                </c:pt>
                <c:pt idx="587">
                  <c:v>16.84</c:v>
                </c:pt>
                <c:pt idx="588">
                  <c:v>16.899999999999999</c:v>
                </c:pt>
                <c:pt idx="589">
                  <c:v>16.209999</c:v>
                </c:pt>
                <c:pt idx="590">
                  <c:v>17.149999999999999</c:v>
                </c:pt>
                <c:pt idx="591">
                  <c:v>17.889999</c:v>
                </c:pt>
                <c:pt idx="592">
                  <c:v>17.620000999999998</c:v>
                </c:pt>
                <c:pt idx="593">
                  <c:v>16.540001</c:v>
                </c:pt>
                <c:pt idx="594">
                  <c:v>15.31</c:v>
                </c:pt>
                <c:pt idx="595">
                  <c:v>15.7</c:v>
                </c:pt>
                <c:pt idx="596">
                  <c:v>16.09</c:v>
                </c:pt>
                <c:pt idx="597">
                  <c:v>18.879999000000002</c:v>
                </c:pt>
                <c:pt idx="598">
                  <c:v>17.709999</c:v>
                </c:pt>
                <c:pt idx="599">
                  <c:v>18.510000000000002</c:v>
                </c:pt>
                <c:pt idx="600">
                  <c:v>18.440000999999999</c:v>
                </c:pt>
                <c:pt idx="601">
                  <c:v>19.18</c:v>
                </c:pt>
                <c:pt idx="602">
                  <c:v>20.559999000000001</c:v>
                </c:pt>
                <c:pt idx="603">
                  <c:v>22.290001</c:v>
                </c:pt>
                <c:pt idx="604">
                  <c:v>20.66</c:v>
                </c:pt>
                <c:pt idx="605">
                  <c:v>20.809999000000001</c:v>
                </c:pt>
                <c:pt idx="606">
                  <c:v>21.5</c:v>
                </c:pt>
                <c:pt idx="607">
                  <c:v>22.49</c:v>
                </c:pt>
                <c:pt idx="608">
                  <c:v>22.25</c:v>
                </c:pt>
                <c:pt idx="609">
                  <c:v>22.440000999999999</c:v>
                </c:pt>
                <c:pt idx="610">
                  <c:v>23.540001</c:v>
                </c:pt>
                <c:pt idx="611">
                  <c:v>23.4</c:v>
                </c:pt>
                <c:pt idx="612">
                  <c:v>22.709999</c:v>
                </c:pt>
                <c:pt idx="613">
                  <c:v>22.690000999999999</c:v>
                </c:pt>
                <c:pt idx="614">
                  <c:v>20.67</c:v>
                </c:pt>
                <c:pt idx="615">
                  <c:v>20.99</c:v>
                </c:pt>
                <c:pt idx="616">
                  <c:v>22.74</c:v>
                </c:pt>
                <c:pt idx="617">
                  <c:v>23.049999</c:v>
                </c:pt>
                <c:pt idx="618">
                  <c:v>22.26</c:v>
                </c:pt>
                <c:pt idx="619">
                  <c:v>22.110001</c:v>
                </c:pt>
                <c:pt idx="620">
                  <c:v>21.58</c:v>
                </c:pt>
                <c:pt idx="621">
                  <c:v>21.700001</c:v>
                </c:pt>
                <c:pt idx="622">
                  <c:v>21.700001</c:v>
                </c:pt>
                <c:pt idx="623">
                  <c:v>20.66</c:v>
                </c:pt>
                <c:pt idx="624">
                  <c:v>20.309999000000001</c:v>
                </c:pt>
                <c:pt idx="625">
                  <c:v>19.350000000000001</c:v>
                </c:pt>
                <c:pt idx="626">
                  <c:v>20.459999</c:v>
                </c:pt>
                <c:pt idx="627">
                  <c:v>20.700001</c:v>
                </c:pt>
                <c:pt idx="628">
                  <c:v>19.73</c:v>
                </c:pt>
                <c:pt idx="629">
                  <c:v>20.07</c:v>
                </c:pt>
                <c:pt idx="630">
                  <c:v>20.43</c:v>
                </c:pt>
                <c:pt idx="631">
                  <c:v>19.84</c:v>
                </c:pt>
                <c:pt idx="632">
                  <c:v>20.860001</c:v>
                </c:pt>
                <c:pt idx="633">
                  <c:v>19.59</c:v>
                </c:pt>
                <c:pt idx="634">
                  <c:v>19.91</c:v>
                </c:pt>
                <c:pt idx="635">
                  <c:v>19.34</c:v>
                </c:pt>
                <c:pt idx="636">
                  <c:v>20.719999000000001</c:v>
                </c:pt>
                <c:pt idx="637">
                  <c:v>22.02</c:v>
                </c:pt>
                <c:pt idx="638">
                  <c:v>22.35</c:v>
                </c:pt>
                <c:pt idx="639">
                  <c:v>22.049999</c:v>
                </c:pt>
                <c:pt idx="640">
                  <c:v>21.9</c:v>
                </c:pt>
                <c:pt idx="641">
                  <c:v>22.27</c:v>
                </c:pt>
                <c:pt idx="642">
                  <c:v>23.290001</c:v>
                </c:pt>
                <c:pt idx="643">
                  <c:v>23.26</c:v>
                </c:pt>
                <c:pt idx="644">
                  <c:v>23.1</c:v>
                </c:pt>
                <c:pt idx="645">
                  <c:v>23.809999000000001</c:v>
                </c:pt>
                <c:pt idx="646">
                  <c:v>22.559999000000001</c:v>
                </c:pt>
                <c:pt idx="647">
                  <c:v>23.700001</c:v>
                </c:pt>
                <c:pt idx="648">
                  <c:v>23.43</c:v>
                </c:pt>
                <c:pt idx="649">
                  <c:v>23.690000999999999</c:v>
                </c:pt>
                <c:pt idx="650">
                  <c:v>27.27</c:v>
                </c:pt>
                <c:pt idx="651">
                  <c:v>26.219999000000001</c:v>
                </c:pt>
                <c:pt idx="652">
                  <c:v>26.530000999999999</c:v>
                </c:pt>
                <c:pt idx="653">
                  <c:v>26.49</c:v>
                </c:pt>
                <c:pt idx="654">
                  <c:v>26.92</c:v>
                </c:pt>
                <c:pt idx="655">
                  <c:v>27.780000999999999</c:v>
                </c:pt>
                <c:pt idx="656">
                  <c:v>27.059999000000001</c:v>
                </c:pt>
                <c:pt idx="657">
                  <c:v>30.360001</c:v>
                </c:pt>
                <c:pt idx="658">
                  <c:v>31.379999000000002</c:v>
                </c:pt>
                <c:pt idx="659">
                  <c:v>30.27</c:v>
                </c:pt>
                <c:pt idx="660">
                  <c:v>30.02</c:v>
                </c:pt>
                <c:pt idx="661">
                  <c:v>29.49</c:v>
                </c:pt>
                <c:pt idx="662">
                  <c:v>28.809999000000001</c:v>
                </c:pt>
                <c:pt idx="663">
                  <c:v>28.17</c:v>
                </c:pt>
                <c:pt idx="664">
                  <c:v>28.620000999999998</c:v>
                </c:pt>
                <c:pt idx="665">
                  <c:v>28.129999000000002</c:v>
                </c:pt>
                <c:pt idx="666">
                  <c:v>28.030000999999999</c:v>
                </c:pt>
                <c:pt idx="667">
                  <c:v>27.91</c:v>
                </c:pt>
                <c:pt idx="668">
                  <c:v>30.24</c:v>
                </c:pt>
                <c:pt idx="669">
                  <c:v>31.67</c:v>
                </c:pt>
                <c:pt idx="670">
                  <c:v>30.620000999999998</c:v>
                </c:pt>
                <c:pt idx="671">
                  <c:v>30.98</c:v>
                </c:pt>
                <c:pt idx="672">
                  <c:v>31.52</c:v>
                </c:pt>
                <c:pt idx="673">
                  <c:v>30.16</c:v>
                </c:pt>
                <c:pt idx="674">
                  <c:v>30.02</c:v>
                </c:pt>
                <c:pt idx="675">
                  <c:v>30.02</c:v>
                </c:pt>
                <c:pt idx="676">
                  <c:v>30.92</c:v>
                </c:pt>
                <c:pt idx="677">
                  <c:v>31.219999000000001</c:v>
                </c:pt>
                <c:pt idx="678">
                  <c:v>31.9</c:v>
                </c:pt>
                <c:pt idx="679">
                  <c:v>32.849997999999999</c:v>
                </c:pt>
                <c:pt idx="680">
                  <c:v>32.580002</c:v>
                </c:pt>
                <c:pt idx="681">
                  <c:v>33.169998</c:v>
                </c:pt>
                <c:pt idx="682">
                  <c:v>32.279998999999997</c:v>
                </c:pt>
                <c:pt idx="683">
                  <c:v>31.709999</c:v>
                </c:pt>
                <c:pt idx="684">
                  <c:v>30.049999</c:v>
                </c:pt>
                <c:pt idx="685">
                  <c:v>30.83</c:v>
                </c:pt>
                <c:pt idx="686">
                  <c:v>29.6</c:v>
                </c:pt>
                <c:pt idx="687">
                  <c:v>30.030000999999999</c:v>
                </c:pt>
                <c:pt idx="688">
                  <c:v>30.59</c:v>
                </c:pt>
                <c:pt idx="689">
                  <c:v>32.299999</c:v>
                </c:pt>
                <c:pt idx="690">
                  <c:v>32</c:v>
                </c:pt>
                <c:pt idx="691">
                  <c:v>32.619999</c:v>
                </c:pt>
                <c:pt idx="692">
                  <c:v>33.159999999999997</c:v>
                </c:pt>
                <c:pt idx="693">
                  <c:v>33.689999</c:v>
                </c:pt>
                <c:pt idx="694">
                  <c:v>33.389999000000003</c:v>
                </c:pt>
                <c:pt idx="695">
                  <c:v>33.419998</c:v>
                </c:pt>
                <c:pt idx="696">
                  <c:v>33.840000000000003</c:v>
                </c:pt>
                <c:pt idx="697">
                  <c:v>33.869999</c:v>
                </c:pt>
                <c:pt idx="698">
                  <c:v>34</c:v>
                </c:pt>
                <c:pt idx="699">
                  <c:v>34.540000999999997</c:v>
                </c:pt>
                <c:pt idx="700">
                  <c:v>34.18</c:v>
                </c:pt>
                <c:pt idx="701">
                  <c:v>33.909999999999997</c:v>
                </c:pt>
                <c:pt idx="702">
                  <c:v>34.18</c:v>
                </c:pt>
                <c:pt idx="703">
                  <c:v>33.5</c:v>
                </c:pt>
                <c:pt idx="704">
                  <c:v>32.68</c:v>
                </c:pt>
                <c:pt idx="705">
                  <c:v>33.669998</c:v>
                </c:pt>
                <c:pt idx="706">
                  <c:v>32.549999</c:v>
                </c:pt>
                <c:pt idx="707">
                  <c:v>32.25</c:v>
                </c:pt>
                <c:pt idx="708">
                  <c:v>32.659999999999997</c:v>
                </c:pt>
                <c:pt idx="709">
                  <c:v>31.690000999999999</c:v>
                </c:pt>
                <c:pt idx="710">
                  <c:v>31.35</c:v>
                </c:pt>
                <c:pt idx="711">
                  <c:v>30.51</c:v>
                </c:pt>
                <c:pt idx="712">
                  <c:v>30.01</c:v>
                </c:pt>
                <c:pt idx="713">
                  <c:v>30.299999</c:v>
                </c:pt>
                <c:pt idx="714">
                  <c:v>32.669998</c:v>
                </c:pt>
                <c:pt idx="715">
                  <c:v>32.68</c:v>
                </c:pt>
                <c:pt idx="716">
                  <c:v>34.099997999999999</c:v>
                </c:pt>
                <c:pt idx="717">
                  <c:v>34.650002000000001</c:v>
                </c:pt>
                <c:pt idx="718">
                  <c:v>34.090000000000003</c:v>
                </c:pt>
                <c:pt idx="719">
                  <c:v>32.209999000000003</c:v>
                </c:pt>
                <c:pt idx="720">
                  <c:v>33.799999</c:v>
                </c:pt>
                <c:pt idx="721">
                  <c:v>34.380001</c:v>
                </c:pt>
                <c:pt idx="722">
                  <c:v>33.830002</c:v>
                </c:pt>
                <c:pt idx="723">
                  <c:v>34.840000000000003</c:v>
                </c:pt>
                <c:pt idx="724">
                  <c:v>35.860000999999997</c:v>
                </c:pt>
                <c:pt idx="725">
                  <c:v>35.810001</c:v>
                </c:pt>
                <c:pt idx="726">
                  <c:v>36.049999</c:v>
                </c:pt>
                <c:pt idx="727">
                  <c:v>36.740001999999997</c:v>
                </c:pt>
                <c:pt idx="728">
                  <c:v>35.759998000000003</c:v>
                </c:pt>
                <c:pt idx="729">
                  <c:v>36.779998999999997</c:v>
                </c:pt>
                <c:pt idx="730">
                  <c:v>37.090000000000003</c:v>
                </c:pt>
                <c:pt idx="731">
                  <c:v>37.330002</c:v>
                </c:pt>
                <c:pt idx="732">
                  <c:v>37.93</c:v>
                </c:pt>
                <c:pt idx="733">
                  <c:v>37.409999999999997</c:v>
                </c:pt>
                <c:pt idx="734">
                  <c:v>35.93</c:v>
                </c:pt>
                <c:pt idx="735">
                  <c:v>35.229999999999997</c:v>
                </c:pt>
                <c:pt idx="736">
                  <c:v>35.93</c:v>
                </c:pt>
                <c:pt idx="737">
                  <c:v>35.299999</c:v>
                </c:pt>
                <c:pt idx="738">
                  <c:v>37</c:v>
                </c:pt>
                <c:pt idx="739">
                  <c:v>35.299999</c:v>
                </c:pt>
                <c:pt idx="740">
                  <c:v>35.479999999999997</c:v>
                </c:pt>
                <c:pt idx="741">
                  <c:v>36.029998999999997</c:v>
                </c:pt>
                <c:pt idx="742">
                  <c:v>35.770000000000003</c:v>
                </c:pt>
                <c:pt idx="743">
                  <c:v>35.439999</c:v>
                </c:pt>
                <c:pt idx="744">
                  <c:v>36.400002000000001</c:v>
                </c:pt>
                <c:pt idx="745">
                  <c:v>35.779998999999997</c:v>
                </c:pt>
                <c:pt idx="746">
                  <c:v>38.169998</c:v>
                </c:pt>
                <c:pt idx="747">
                  <c:v>39.439999</c:v>
                </c:pt>
                <c:pt idx="748">
                  <c:v>40.729999999999997</c:v>
                </c:pt>
                <c:pt idx="749">
                  <c:v>41.049999</c:v>
                </c:pt>
                <c:pt idx="750">
                  <c:v>41.560001</c:v>
                </c:pt>
                <c:pt idx="751">
                  <c:v>42.27</c:v>
                </c:pt>
                <c:pt idx="752">
                  <c:v>41.919998</c:v>
                </c:pt>
                <c:pt idx="753">
                  <c:v>41.91</c:v>
                </c:pt>
                <c:pt idx="754">
                  <c:v>42.279998999999997</c:v>
                </c:pt>
                <c:pt idx="755">
                  <c:v>40.810001</c:v>
                </c:pt>
                <c:pt idx="756">
                  <c:v>39.830002</c:v>
                </c:pt>
                <c:pt idx="757">
                  <c:v>39.700001</c:v>
                </c:pt>
                <c:pt idx="758">
                  <c:v>40.939999</c:v>
                </c:pt>
                <c:pt idx="759">
                  <c:v>42.389999000000003</c:v>
                </c:pt>
                <c:pt idx="760">
                  <c:v>40.169998</c:v>
                </c:pt>
                <c:pt idx="761">
                  <c:v>39.630001</c:v>
                </c:pt>
                <c:pt idx="762">
                  <c:v>39.5</c:v>
                </c:pt>
                <c:pt idx="763">
                  <c:v>38.599997999999999</c:v>
                </c:pt>
                <c:pt idx="764">
                  <c:v>40.25</c:v>
                </c:pt>
                <c:pt idx="765">
                  <c:v>40.869999</c:v>
                </c:pt>
                <c:pt idx="766">
                  <c:v>40.400002000000001</c:v>
                </c:pt>
                <c:pt idx="767">
                  <c:v>41.470001000000003</c:v>
                </c:pt>
                <c:pt idx="768">
                  <c:v>42.599997999999999</c:v>
                </c:pt>
                <c:pt idx="769">
                  <c:v>42.880001</c:v>
                </c:pt>
                <c:pt idx="770">
                  <c:v>41.93</c:v>
                </c:pt>
                <c:pt idx="771">
                  <c:v>40.360000999999997</c:v>
                </c:pt>
                <c:pt idx="772">
                  <c:v>37.939999</c:v>
                </c:pt>
                <c:pt idx="773">
                  <c:v>38.889999000000003</c:v>
                </c:pt>
                <c:pt idx="774">
                  <c:v>38.25</c:v>
                </c:pt>
                <c:pt idx="775">
                  <c:v>39.419998</c:v>
                </c:pt>
                <c:pt idx="776">
                  <c:v>39.959999000000003</c:v>
                </c:pt>
                <c:pt idx="777">
                  <c:v>40.369999</c:v>
                </c:pt>
                <c:pt idx="778">
                  <c:v>41.549999</c:v>
                </c:pt>
                <c:pt idx="779">
                  <c:v>42.59</c:v>
                </c:pt>
                <c:pt idx="780">
                  <c:v>43.41</c:v>
                </c:pt>
                <c:pt idx="781">
                  <c:v>43.490001999999997</c:v>
                </c:pt>
                <c:pt idx="782">
                  <c:v>42.689999</c:v>
                </c:pt>
                <c:pt idx="783">
                  <c:v>43.419998</c:v>
                </c:pt>
                <c:pt idx="784">
                  <c:v>43.419998</c:v>
                </c:pt>
                <c:pt idx="785">
                  <c:v>41.709999000000003</c:v>
                </c:pt>
                <c:pt idx="786">
                  <c:v>41.220001000000003</c:v>
                </c:pt>
                <c:pt idx="787">
                  <c:v>40.049999</c:v>
                </c:pt>
                <c:pt idx="788">
                  <c:v>40.909999999999997</c:v>
                </c:pt>
                <c:pt idx="789">
                  <c:v>41.380001</c:v>
                </c:pt>
                <c:pt idx="790">
                  <c:v>41.73</c:v>
                </c:pt>
                <c:pt idx="791">
                  <c:v>42.400002000000001</c:v>
                </c:pt>
                <c:pt idx="792">
                  <c:v>40.610000999999997</c:v>
                </c:pt>
                <c:pt idx="793">
                  <c:v>43.27</c:v>
                </c:pt>
                <c:pt idx="794">
                  <c:v>44.84</c:v>
                </c:pt>
                <c:pt idx="795">
                  <c:v>43.709999000000003</c:v>
                </c:pt>
                <c:pt idx="796">
                  <c:v>43.25</c:v>
                </c:pt>
                <c:pt idx="797">
                  <c:v>42.32</c:v>
                </c:pt>
                <c:pt idx="798">
                  <c:v>43.52</c:v>
                </c:pt>
                <c:pt idx="799">
                  <c:v>44.330002</c:v>
                </c:pt>
                <c:pt idx="800">
                  <c:v>44.82</c:v>
                </c:pt>
                <c:pt idx="801">
                  <c:v>47.080002</c:v>
                </c:pt>
                <c:pt idx="802">
                  <c:v>47.049999</c:v>
                </c:pt>
                <c:pt idx="803">
                  <c:v>46.740001999999997</c:v>
                </c:pt>
                <c:pt idx="804">
                  <c:v>47.029998999999997</c:v>
                </c:pt>
                <c:pt idx="805">
                  <c:v>45.799999</c:v>
                </c:pt>
                <c:pt idx="806">
                  <c:v>47.5</c:v>
                </c:pt>
                <c:pt idx="807">
                  <c:v>45.68</c:v>
                </c:pt>
                <c:pt idx="808">
                  <c:v>45.900002000000001</c:v>
                </c:pt>
                <c:pt idx="809">
                  <c:v>44.869999</c:v>
                </c:pt>
                <c:pt idx="810">
                  <c:v>42.279998999999997</c:v>
                </c:pt>
                <c:pt idx="811">
                  <c:v>42.369999</c:v>
                </c:pt>
                <c:pt idx="812">
                  <c:v>44.049999</c:v>
                </c:pt>
                <c:pt idx="813">
                  <c:v>46.619999</c:v>
                </c:pt>
                <c:pt idx="814">
                  <c:v>44.759998000000003</c:v>
                </c:pt>
                <c:pt idx="815">
                  <c:v>45.91</c:v>
                </c:pt>
                <c:pt idx="816">
                  <c:v>46.369999</c:v>
                </c:pt>
                <c:pt idx="817">
                  <c:v>47.369999</c:v>
                </c:pt>
                <c:pt idx="818">
                  <c:v>47.59</c:v>
                </c:pt>
                <c:pt idx="819">
                  <c:v>48.049999</c:v>
                </c:pt>
                <c:pt idx="820">
                  <c:v>46.950001</c:v>
                </c:pt>
                <c:pt idx="821">
                  <c:v>47.34</c:v>
                </c:pt>
                <c:pt idx="822">
                  <c:v>48.599997999999999</c:v>
                </c:pt>
                <c:pt idx="823">
                  <c:v>49.299999</c:v>
                </c:pt>
                <c:pt idx="824">
                  <c:v>48.32</c:v>
                </c:pt>
                <c:pt idx="825">
                  <c:v>47.82</c:v>
                </c:pt>
                <c:pt idx="826">
                  <c:v>48.5</c:v>
                </c:pt>
                <c:pt idx="827">
                  <c:v>49.810001</c:v>
                </c:pt>
                <c:pt idx="828">
                  <c:v>49.810001</c:v>
                </c:pt>
                <c:pt idx="829">
                  <c:v>47.709999000000003</c:v>
                </c:pt>
                <c:pt idx="830">
                  <c:v>48.169998</c:v>
                </c:pt>
                <c:pt idx="831">
                  <c:v>47.759998000000003</c:v>
                </c:pt>
                <c:pt idx="832">
                  <c:v>48.77</c:v>
                </c:pt>
                <c:pt idx="833">
                  <c:v>49.599997999999999</c:v>
                </c:pt>
                <c:pt idx="834">
                  <c:v>49.959999000000003</c:v>
                </c:pt>
                <c:pt idx="835">
                  <c:v>49.049999</c:v>
                </c:pt>
                <c:pt idx="836">
                  <c:v>49.970001000000003</c:v>
                </c:pt>
                <c:pt idx="837">
                  <c:v>48.669998</c:v>
                </c:pt>
                <c:pt idx="838">
                  <c:v>49.299999</c:v>
                </c:pt>
                <c:pt idx="839">
                  <c:v>48.810001</c:v>
                </c:pt>
                <c:pt idx="840">
                  <c:v>49.060001</c:v>
                </c:pt>
                <c:pt idx="841">
                  <c:v>52</c:v>
                </c:pt>
                <c:pt idx="842">
                  <c:v>52.360000999999997</c:v>
                </c:pt>
                <c:pt idx="843">
                  <c:v>52.299999</c:v>
                </c:pt>
                <c:pt idx="844">
                  <c:v>50.400002000000001</c:v>
                </c:pt>
                <c:pt idx="845">
                  <c:v>46.639999000000003</c:v>
                </c:pt>
                <c:pt idx="846">
                  <c:v>47.959999000000003</c:v>
                </c:pt>
                <c:pt idx="847">
                  <c:v>47.93</c:v>
                </c:pt>
                <c:pt idx="848">
                  <c:v>47.950001</c:v>
                </c:pt>
                <c:pt idx="849">
                  <c:v>45.849997999999999</c:v>
                </c:pt>
                <c:pt idx="850">
                  <c:v>44.619999</c:v>
                </c:pt>
                <c:pt idx="851">
                  <c:v>44.779998999999997</c:v>
                </c:pt>
                <c:pt idx="852">
                  <c:v>43.959999000000003</c:v>
                </c:pt>
                <c:pt idx="853">
                  <c:v>44.48</c:v>
                </c:pt>
                <c:pt idx="854">
                  <c:v>44.860000999999997</c:v>
                </c:pt>
                <c:pt idx="855">
                  <c:v>45.169998</c:v>
                </c:pt>
                <c:pt idx="856">
                  <c:v>45.150002000000001</c:v>
                </c:pt>
                <c:pt idx="857">
                  <c:v>44.540000999999997</c:v>
                </c:pt>
                <c:pt idx="858">
                  <c:v>44.470001000000003</c:v>
                </c:pt>
                <c:pt idx="859">
                  <c:v>42.880001</c:v>
                </c:pt>
                <c:pt idx="860">
                  <c:v>42.25</c:v>
                </c:pt>
                <c:pt idx="861">
                  <c:v>42.700001</c:v>
                </c:pt>
                <c:pt idx="862">
                  <c:v>41.93</c:v>
                </c:pt>
                <c:pt idx="863">
                  <c:v>42.259998000000003</c:v>
                </c:pt>
                <c:pt idx="864">
                  <c:v>43.759998000000003</c:v>
                </c:pt>
                <c:pt idx="865">
                  <c:v>42.68</c:v>
                </c:pt>
                <c:pt idx="866">
                  <c:v>43.860000999999997</c:v>
                </c:pt>
                <c:pt idx="867">
                  <c:v>42.610000999999997</c:v>
                </c:pt>
                <c:pt idx="868">
                  <c:v>43.360000999999997</c:v>
                </c:pt>
                <c:pt idx="869">
                  <c:v>43.330002</c:v>
                </c:pt>
                <c:pt idx="870">
                  <c:v>43.029998999999997</c:v>
                </c:pt>
                <c:pt idx="871">
                  <c:v>42.220001000000003</c:v>
                </c:pt>
                <c:pt idx="872">
                  <c:v>43.880001</c:v>
                </c:pt>
                <c:pt idx="873">
                  <c:v>44.43</c:v>
                </c:pt>
                <c:pt idx="874">
                  <c:v>44.150002000000001</c:v>
                </c:pt>
                <c:pt idx="875">
                  <c:v>44.84</c:v>
                </c:pt>
                <c:pt idx="876">
                  <c:v>45.209999000000003</c:v>
                </c:pt>
                <c:pt idx="877">
                  <c:v>45.240001999999997</c:v>
                </c:pt>
                <c:pt idx="878">
                  <c:v>42.57</c:v>
                </c:pt>
                <c:pt idx="879">
                  <c:v>42.66</c:v>
                </c:pt>
                <c:pt idx="880">
                  <c:v>43.68</c:v>
                </c:pt>
                <c:pt idx="881">
                  <c:v>43.259998000000003</c:v>
                </c:pt>
                <c:pt idx="882">
                  <c:v>42.169998</c:v>
                </c:pt>
                <c:pt idx="883">
                  <c:v>43.009998000000003</c:v>
                </c:pt>
                <c:pt idx="884">
                  <c:v>41.75</c:v>
                </c:pt>
                <c:pt idx="885">
                  <c:v>42.77</c:v>
                </c:pt>
                <c:pt idx="886">
                  <c:v>43.75</c:v>
                </c:pt>
                <c:pt idx="887">
                  <c:v>42.330002</c:v>
                </c:pt>
                <c:pt idx="888">
                  <c:v>41.950001</c:v>
                </c:pt>
                <c:pt idx="889">
                  <c:v>41.84</c:v>
                </c:pt>
                <c:pt idx="890">
                  <c:v>40.98</c:v>
                </c:pt>
                <c:pt idx="891">
                  <c:v>40.470001000000003</c:v>
                </c:pt>
                <c:pt idx="892">
                  <c:v>41.990001999999997</c:v>
                </c:pt>
                <c:pt idx="893">
                  <c:v>44.939999</c:v>
                </c:pt>
                <c:pt idx="894">
                  <c:v>44.549999</c:v>
                </c:pt>
                <c:pt idx="895">
                  <c:v>45.360000999999997</c:v>
                </c:pt>
                <c:pt idx="896">
                  <c:v>44.009998000000003</c:v>
                </c:pt>
                <c:pt idx="897">
                  <c:v>44.200001</c:v>
                </c:pt>
                <c:pt idx="898">
                  <c:v>44.119999</c:v>
                </c:pt>
                <c:pt idx="899">
                  <c:v>44.939999</c:v>
                </c:pt>
                <c:pt idx="900">
                  <c:v>44.5</c:v>
                </c:pt>
                <c:pt idx="901">
                  <c:v>44.450001</c:v>
                </c:pt>
                <c:pt idx="902">
                  <c:v>45.860000999999997</c:v>
                </c:pt>
                <c:pt idx="903">
                  <c:v>45.950001</c:v>
                </c:pt>
                <c:pt idx="904">
                  <c:v>47.330002</c:v>
                </c:pt>
                <c:pt idx="905">
                  <c:v>47.290000999999997</c:v>
                </c:pt>
                <c:pt idx="906">
                  <c:v>47.5</c:v>
                </c:pt>
                <c:pt idx="907">
                  <c:v>48.790000999999997</c:v>
                </c:pt>
                <c:pt idx="908">
                  <c:v>50.240001999999997</c:v>
                </c:pt>
                <c:pt idx="909">
                  <c:v>51.900002000000001</c:v>
                </c:pt>
                <c:pt idx="910">
                  <c:v>51.759998000000003</c:v>
                </c:pt>
                <c:pt idx="911">
                  <c:v>51.580002</c:v>
                </c:pt>
                <c:pt idx="912">
                  <c:v>49.700001</c:v>
                </c:pt>
                <c:pt idx="913">
                  <c:v>49.220001000000003</c:v>
                </c:pt>
                <c:pt idx="914">
                  <c:v>48.43</c:v>
                </c:pt>
                <c:pt idx="915">
                  <c:v>49.110000999999997</c:v>
                </c:pt>
                <c:pt idx="916">
                  <c:v>50.169998</c:v>
                </c:pt>
                <c:pt idx="917">
                  <c:v>51.139999000000003</c:v>
                </c:pt>
                <c:pt idx="918">
                  <c:v>52.389999000000003</c:v>
                </c:pt>
                <c:pt idx="919">
                  <c:v>51.75</c:v>
                </c:pt>
                <c:pt idx="920">
                  <c:v>53.25</c:v>
                </c:pt>
                <c:pt idx="921">
                  <c:v>53.419998</c:v>
                </c:pt>
                <c:pt idx="922">
                  <c:v>53.290000999999997</c:v>
                </c:pt>
                <c:pt idx="923">
                  <c:v>53.59</c:v>
                </c:pt>
                <c:pt idx="924">
                  <c:v>54.610000999999997</c:v>
                </c:pt>
                <c:pt idx="925">
                  <c:v>54.490001999999997</c:v>
                </c:pt>
                <c:pt idx="926">
                  <c:v>54.330002</c:v>
                </c:pt>
                <c:pt idx="927">
                  <c:v>54.130001</c:v>
                </c:pt>
                <c:pt idx="928">
                  <c:v>54.369999</c:v>
                </c:pt>
                <c:pt idx="929">
                  <c:v>53.470001000000003</c:v>
                </c:pt>
                <c:pt idx="930">
                  <c:v>53.540000999999997</c:v>
                </c:pt>
                <c:pt idx="931">
                  <c:v>52.310001</c:v>
                </c:pt>
                <c:pt idx="932">
                  <c:v>53.119999</c:v>
                </c:pt>
                <c:pt idx="933">
                  <c:v>52.799999</c:v>
                </c:pt>
                <c:pt idx="934">
                  <c:v>52.82</c:v>
                </c:pt>
                <c:pt idx="935">
                  <c:v>52.02</c:v>
                </c:pt>
                <c:pt idx="936">
                  <c:v>52.400002000000001</c:v>
                </c:pt>
                <c:pt idx="937">
                  <c:v>53.959999000000003</c:v>
                </c:pt>
                <c:pt idx="938">
                  <c:v>54.259998000000003</c:v>
                </c:pt>
                <c:pt idx="939">
                  <c:v>54.16</c:v>
                </c:pt>
                <c:pt idx="940">
                  <c:v>54.900002000000001</c:v>
                </c:pt>
                <c:pt idx="941">
                  <c:v>53.939999</c:v>
                </c:pt>
                <c:pt idx="942">
                  <c:v>53.919998</c:v>
                </c:pt>
                <c:pt idx="943">
                  <c:v>51.740001999999997</c:v>
                </c:pt>
                <c:pt idx="944">
                  <c:v>52.959999000000003</c:v>
                </c:pt>
                <c:pt idx="945">
                  <c:v>52.580002</c:v>
                </c:pt>
                <c:pt idx="946">
                  <c:v>52.73</c:v>
                </c:pt>
                <c:pt idx="947">
                  <c:v>53.139999000000003</c:v>
                </c:pt>
                <c:pt idx="948">
                  <c:v>54.75</c:v>
                </c:pt>
                <c:pt idx="949">
                  <c:v>55.09</c:v>
                </c:pt>
                <c:pt idx="950">
                  <c:v>55.200001</c:v>
                </c:pt>
                <c:pt idx="951">
                  <c:v>55.450001</c:v>
                </c:pt>
                <c:pt idx="952">
                  <c:v>56.419998</c:v>
                </c:pt>
                <c:pt idx="953">
                  <c:v>56.810001</c:v>
                </c:pt>
                <c:pt idx="954">
                  <c:v>57.07</c:v>
                </c:pt>
                <c:pt idx="955">
                  <c:v>57.82</c:v>
                </c:pt>
                <c:pt idx="956">
                  <c:v>57.52</c:v>
                </c:pt>
                <c:pt idx="957">
                  <c:v>58.290000999999997</c:v>
                </c:pt>
                <c:pt idx="958">
                  <c:v>58.549999</c:v>
                </c:pt>
                <c:pt idx="959">
                  <c:v>58.889999000000003</c:v>
                </c:pt>
                <c:pt idx="960">
                  <c:v>60.139999000000003</c:v>
                </c:pt>
                <c:pt idx="961">
                  <c:v>58.759998000000003</c:v>
                </c:pt>
                <c:pt idx="962">
                  <c:v>57.040000999999997</c:v>
                </c:pt>
                <c:pt idx="963">
                  <c:v>58.240001999999997</c:v>
                </c:pt>
                <c:pt idx="964">
                  <c:v>58.27</c:v>
                </c:pt>
                <c:pt idx="965">
                  <c:v>58.540000999999997</c:v>
                </c:pt>
                <c:pt idx="966">
                  <c:v>58.200001</c:v>
                </c:pt>
                <c:pt idx="967">
                  <c:v>60.259998000000003</c:v>
                </c:pt>
                <c:pt idx="968">
                  <c:v>65.400002000000001</c:v>
                </c:pt>
                <c:pt idx="969">
                  <c:v>67.239998</c:v>
                </c:pt>
                <c:pt idx="970">
                  <c:v>66.839995999999999</c:v>
                </c:pt>
                <c:pt idx="971">
                  <c:v>67.680000000000007</c:v>
                </c:pt>
                <c:pt idx="972">
                  <c:v>66.919998000000007</c:v>
                </c:pt>
                <c:pt idx="973">
                  <c:v>67.459998999999996</c:v>
                </c:pt>
                <c:pt idx="974">
                  <c:v>68</c:v>
                </c:pt>
                <c:pt idx="975">
                  <c:v>67</c:v>
                </c:pt>
                <c:pt idx="976">
                  <c:v>69</c:v>
                </c:pt>
                <c:pt idx="977">
                  <c:v>69.25</c:v>
                </c:pt>
                <c:pt idx="978">
                  <c:v>71.190002000000007</c:v>
                </c:pt>
                <c:pt idx="979">
                  <c:v>70.239998</c:v>
                </c:pt>
                <c:pt idx="980">
                  <c:v>71.800003000000004</c:v>
                </c:pt>
                <c:pt idx="981">
                  <c:v>73.349997999999999</c:v>
                </c:pt>
                <c:pt idx="982">
                  <c:v>73.709998999999996</c:v>
                </c:pt>
                <c:pt idx="983">
                  <c:v>71.430000000000007</c:v>
                </c:pt>
                <c:pt idx="984">
                  <c:v>71.849997999999999</c:v>
                </c:pt>
                <c:pt idx="985">
                  <c:v>69.440002000000007</c:v>
                </c:pt>
                <c:pt idx="986">
                  <c:v>70.220000999999996</c:v>
                </c:pt>
                <c:pt idx="987">
                  <c:v>73.319999999999993</c:v>
                </c:pt>
                <c:pt idx="988">
                  <c:v>71.110000999999997</c:v>
                </c:pt>
                <c:pt idx="989">
                  <c:v>73.379997000000003</c:v>
                </c:pt>
                <c:pt idx="990">
                  <c:v>76</c:v>
                </c:pt>
                <c:pt idx="991">
                  <c:v>76.480002999999996</c:v>
                </c:pt>
                <c:pt idx="992">
                  <c:v>77.75</c:v>
                </c:pt>
                <c:pt idx="993">
                  <c:v>79.569999999999993</c:v>
                </c:pt>
                <c:pt idx="994">
                  <c:v>77.440002000000007</c:v>
                </c:pt>
                <c:pt idx="995">
                  <c:v>76.639999000000003</c:v>
                </c:pt>
                <c:pt idx="996">
                  <c:v>78.260002</c:v>
                </c:pt>
                <c:pt idx="997">
                  <c:v>77.25</c:v>
                </c:pt>
                <c:pt idx="998">
                  <c:v>76.830001999999993</c:v>
                </c:pt>
                <c:pt idx="999">
                  <c:v>75.129997000000003</c:v>
                </c:pt>
                <c:pt idx="1000">
                  <c:v>78.690002000000007</c:v>
                </c:pt>
                <c:pt idx="1001">
                  <c:v>81.059997999999993</c:v>
                </c:pt>
                <c:pt idx="1002">
                  <c:v>82.150002000000001</c:v>
                </c:pt>
                <c:pt idx="1003">
                  <c:v>84.309997999999993</c:v>
                </c:pt>
                <c:pt idx="1004">
                  <c:v>84.459998999999996</c:v>
                </c:pt>
                <c:pt idx="1005">
                  <c:v>85.050003000000004</c:v>
                </c:pt>
                <c:pt idx="1006">
                  <c:v>84.050003000000004</c:v>
                </c:pt>
                <c:pt idx="1007">
                  <c:v>85.709998999999996</c:v>
                </c:pt>
                <c:pt idx="1008">
                  <c:v>83.489998</c:v>
                </c:pt>
                <c:pt idx="1009">
                  <c:v>85.419998000000007</c:v>
                </c:pt>
                <c:pt idx="1010">
                  <c:v>82.400002000000001</c:v>
                </c:pt>
                <c:pt idx="1011">
                  <c:v>82.459998999999996</c:v>
                </c:pt>
                <c:pt idx="1012">
                  <c:v>78.629997000000003</c:v>
                </c:pt>
                <c:pt idx="1013">
                  <c:v>79.010002</c:v>
                </c:pt>
                <c:pt idx="1014">
                  <c:v>80.489998</c:v>
                </c:pt>
                <c:pt idx="1015">
                  <c:v>81.180000000000007</c:v>
                </c:pt>
                <c:pt idx="1016">
                  <c:v>80.580001999999993</c:v>
                </c:pt>
                <c:pt idx="1017">
                  <c:v>78.680000000000007</c:v>
                </c:pt>
                <c:pt idx="1018">
                  <c:v>75.949996999999996</c:v>
                </c:pt>
                <c:pt idx="1019">
                  <c:v>72.629997000000003</c:v>
                </c:pt>
                <c:pt idx="1020">
                  <c:v>69.739998</c:v>
                </c:pt>
                <c:pt idx="1021">
                  <c:v>67</c:v>
                </c:pt>
                <c:pt idx="1022">
                  <c:v>69.800003000000004</c:v>
                </c:pt>
                <c:pt idx="1023">
                  <c:v>67.75</c:v>
                </c:pt>
                <c:pt idx="1024">
                  <c:v>65.800003000000004</c:v>
                </c:pt>
                <c:pt idx="1025">
                  <c:v>64.190002000000007</c:v>
                </c:pt>
                <c:pt idx="1026">
                  <c:v>66.360000999999997</c:v>
                </c:pt>
                <c:pt idx="1027">
                  <c:v>67.989998</c:v>
                </c:pt>
                <c:pt idx="1028">
                  <c:v>70.099997999999999</c:v>
                </c:pt>
                <c:pt idx="1029">
                  <c:v>71.550003000000004</c:v>
                </c:pt>
                <c:pt idx="1030">
                  <c:v>69.489998</c:v>
                </c:pt>
                <c:pt idx="1031">
                  <c:v>66.809997999999993</c:v>
                </c:pt>
                <c:pt idx="1032">
                  <c:v>67.519997000000004</c:v>
                </c:pt>
                <c:pt idx="1033">
                  <c:v>70.069999999999993</c:v>
                </c:pt>
                <c:pt idx="1034">
                  <c:v>71.480002999999996</c:v>
                </c:pt>
                <c:pt idx="1035">
                  <c:v>69.029999000000004</c:v>
                </c:pt>
                <c:pt idx="1036">
                  <c:v>68.379997000000003</c:v>
                </c:pt>
                <c:pt idx="1037">
                  <c:v>68.779999000000004</c:v>
                </c:pt>
                <c:pt idx="1038">
                  <c:v>71.339995999999999</c:v>
                </c:pt>
                <c:pt idx="1039">
                  <c:v>71.169998000000007</c:v>
                </c:pt>
                <c:pt idx="1040">
                  <c:v>69.050003000000004</c:v>
                </c:pt>
                <c:pt idx="1041">
                  <c:v>71.720000999999996</c:v>
                </c:pt>
                <c:pt idx="1042">
                  <c:v>69.360000999999997</c:v>
                </c:pt>
                <c:pt idx="1043">
                  <c:v>66.620002999999997</c:v>
                </c:pt>
                <c:pt idx="1044">
                  <c:v>69.540001000000004</c:v>
                </c:pt>
                <c:pt idx="1045">
                  <c:v>72.720000999999996</c:v>
                </c:pt>
                <c:pt idx="1046">
                  <c:v>74.419998000000007</c:v>
                </c:pt>
                <c:pt idx="1047">
                  <c:v>73.050003000000004</c:v>
                </c:pt>
                <c:pt idx="1048">
                  <c:v>77.269997000000004</c:v>
                </c:pt>
                <c:pt idx="1049">
                  <c:v>74.870002999999997</c:v>
                </c:pt>
                <c:pt idx="1050">
                  <c:v>74.110000999999997</c:v>
                </c:pt>
                <c:pt idx="1051">
                  <c:v>67.919998000000007</c:v>
                </c:pt>
                <c:pt idx="1052">
                  <c:v>70.569999999999993</c:v>
                </c:pt>
                <c:pt idx="1053">
                  <c:v>73.849997999999999</c:v>
                </c:pt>
                <c:pt idx="1054">
                  <c:v>74.660004000000001</c:v>
                </c:pt>
                <c:pt idx="1055">
                  <c:v>74.330001999999993</c:v>
                </c:pt>
                <c:pt idx="1056">
                  <c:v>70.010002</c:v>
                </c:pt>
                <c:pt idx="1057">
                  <c:v>73.360000999999997</c:v>
                </c:pt>
                <c:pt idx="1058">
                  <c:v>75.269997000000004</c:v>
                </c:pt>
                <c:pt idx="1059">
                  <c:v>76.900002000000001</c:v>
                </c:pt>
                <c:pt idx="1060">
                  <c:v>78.290001000000004</c:v>
                </c:pt>
                <c:pt idx="1061">
                  <c:v>76.360000999999997</c:v>
                </c:pt>
                <c:pt idx="1062">
                  <c:v>76.300003000000004</c:v>
                </c:pt>
                <c:pt idx="1063">
                  <c:v>73.489998</c:v>
                </c:pt>
                <c:pt idx="1064">
                  <c:v>69.529999000000004</c:v>
                </c:pt>
                <c:pt idx="1065">
                  <c:v>67.959998999999996</c:v>
                </c:pt>
                <c:pt idx="1066">
                  <c:v>69.330001999999993</c:v>
                </c:pt>
                <c:pt idx="1067">
                  <c:v>71.849997999999999</c:v>
                </c:pt>
                <c:pt idx="1068">
                  <c:v>67.949996999999996</c:v>
                </c:pt>
                <c:pt idx="1069">
                  <c:v>64.540001000000004</c:v>
                </c:pt>
                <c:pt idx="1070">
                  <c:v>64.199996999999996</c:v>
                </c:pt>
                <c:pt idx="1071">
                  <c:v>64.919998000000007</c:v>
                </c:pt>
                <c:pt idx="1072">
                  <c:v>62.639999000000003</c:v>
                </c:pt>
                <c:pt idx="1073">
                  <c:v>59.939999</c:v>
                </c:pt>
                <c:pt idx="1074">
                  <c:v>59.869999</c:v>
                </c:pt>
                <c:pt idx="1075">
                  <c:v>59.860000999999997</c:v>
                </c:pt>
                <c:pt idx="1076">
                  <c:v>60.759998000000003</c:v>
                </c:pt>
                <c:pt idx="1077">
                  <c:v>60.330002</c:v>
                </c:pt>
                <c:pt idx="1078">
                  <c:v>62.110000999999997</c:v>
                </c:pt>
                <c:pt idx="1079">
                  <c:v>61.16</c:v>
                </c:pt>
                <c:pt idx="1080">
                  <c:v>60.799999</c:v>
                </c:pt>
                <c:pt idx="1081">
                  <c:v>63.630001</c:v>
                </c:pt>
                <c:pt idx="1082">
                  <c:v>64.989998</c:v>
                </c:pt>
                <c:pt idx="1083">
                  <c:v>62.389999000000003</c:v>
                </c:pt>
                <c:pt idx="1084">
                  <c:v>61.41</c:v>
                </c:pt>
                <c:pt idx="1085">
                  <c:v>65.849997999999999</c:v>
                </c:pt>
                <c:pt idx="1086">
                  <c:v>61.360000999999997</c:v>
                </c:pt>
                <c:pt idx="1087">
                  <c:v>60.419998</c:v>
                </c:pt>
                <c:pt idx="1088">
                  <c:v>63.970001000000003</c:v>
                </c:pt>
                <c:pt idx="1089">
                  <c:v>61.57</c:v>
                </c:pt>
                <c:pt idx="1090">
                  <c:v>63.279998999999997</c:v>
                </c:pt>
                <c:pt idx="1091">
                  <c:v>64.830001999999993</c:v>
                </c:pt>
                <c:pt idx="1092">
                  <c:v>68.610000999999997</c:v>
                </c:pt>
                <c:pt idx="1093">
                  <c:v>65.910004000000001</c:v>
                </c:pt>
                <c:pt idx="1094">
                  <c:v>65.089995999999999</c:v>
                </c:pt>
                <c:pt idx="1095">
                  <c:v>64.75</c:v>
                </c:pt>
                <c:pt idx="1096">
                  <c:v>65.129997000000003</c:v>
                </c:pt>
                <c:pt idx="1097">
                  <c:v>62.990001999999997</c:v>
                </c:pt>
                <c:pt idx="1098">
                  <c:v>64</c:v>
                </c:pt>
                <c:pt idx="1099">
                  <c:v>66.889999000000003</c:v>
                </c:pt>
                <c:pt idx="1100">
                  <c:v>66.720000999999996</c:v>
                </c:pt>
                <c:pt idx="1101">
                  <c:v>68.360000999999997</c:v>
                </c:pt>
                <c:pt idx="1102">
                  <c:v>62.990001999999997</c:v>
                </c:pt>
                <c:pt idx="1103">
                  <c:v>62.709999000000003</c:v>
                </c:pt>
                <c:pt idx="1104">
                  <c:v>60.82</c:v>
                </c:pt>
                <c:pt idx="1105">
                  <c:v>62.5</c:v>
                </c:pt>
                <c:pt idx="1106">
                  <c:v>59.040000999999997</c:v>
                </c:pt>
                <c:pt idx="1107">
                  <c:v>62.240001999999997</c:v>
                </c:pt>
                <c:pt idx="1108">
                  <c:v>66.269997000000004</c:v>
                </c:pt>
                <c:pt idx="1109">
                  <c:v>66.760002</c:v>
                </c:pt>
                <c:pt idx="1110">
                  <c:v>65.089995999999999</c:v>
                </c:pt>
                <c:pt idx="1111">
                  <c:v>63.810001</c:v>
                </c:pt>
                <c:pt idx="1112">
                  <c:v>65.870002999999997</c:v>
                </c:pt>
                <c:pt idx="1113">
                  <c:v>65.800003000000004</c:v>
                </c:pt>
                <c:pt idx="1114">
                  <c:v>66.569999999999993</c:v>
                </c:pt>
                <c:pt idx="1115">
                  <c:v>67.660004000000001</c:v>
                </c:pt>
                <c:pt idx="1116">
                  <c:v>65.519997000000004</c:v>
                </c:pt>
                <c:pt idx="1117">
                  <c:v>65.169998000000007</c:v>
                </c:pt>
                <c:pt idx="1118">
                  <c:v>60.169998</c:v>
                </c:pt>
                <c:pt idx="1119">
                  <c:v>55.470001000000003</c:v>
                </c:pt>
                <c:pt idx="1120">
                  <c:v>55.099997999999999</c:v>
                </c:pt>
                <c:pt idx="1121">
                  <c:v>55.459999000000003</c:v>
                </c:pt>
                <c:pt idx="1122">
                  <c:v>50.48</c:v>
                </c:pt>
                <c:pt idx="1123">
                  <c:v>50.48</c:v>
                </c:pt>
                <c:pt idx="1124">
                  <c:v>50.900002000000001</c:v>
                </c:pt>
                <c:pt idx="1125">
                  <c:v>50.02</c:v>
                </c:pt>
                <c:pt idx="1126">
                  <c:v>51.119999</c:v>
                </c:pt>
                <c:pt idx="1127">
                  <c:v>52.799999</c:v>
                </c:pt>
                <c:pt idx="1128">
                  <c:v>53.439999</c:v>
                </c:pt>
                <c:pt idx="1129">
                  <c:v>52.650002000000001</c:v>
                </c:pt>
                <c:pt idx="1130">
                  <c:v>52.669998</c:v>
                </c:pt>
                <c:pt idx="1131">
                  <c:v>53.700001</c:v>
                </c:pt>
                <c:pt idx="1132">
                  <c:v>57.459999000000003</c:v>
                </c:pt>
                <c:pt idx="1133">
                  <c:v>58.689999</c:v>
                </c:pt>
                <c:pt idx="1134">
                  <c:v>58.860000999999997</c:v>
                </c:pt>
                <c:pt idx="1135">
                  <c:v>60.52</c:v>
                </c:pt>
                <c:pt idx="1136">
                  <c:v>60.740001999999997</c:v>
                </c:pt>
                <c:pt idx="1137">
                  <c:v>59.98</c:v>
                </c:pt>
                <c:pt idx="1138">
                  <c:v>62.509998000000003</c:v>
                </c:pt>
                <c:pt idx="1139">
                  <c:v>63.110000999999997</c:v>
                </c:pt>
                <c:pt idx="1140">
                  <c:v>62.849997999999999</c:v>
                </c:pt>
                <c:pt idx="1141">
                  <c:v>63.84</c:v>
                </c:pt>
                <c:pt idx="1142">
                  <c:v>63.720001000000003</c:v>
                </c:pt>
                <c:pt idx="1143">
                  <c:v>65.370002999999997</c:v>
                </c:pt>
                <c:pt idx="1144">
                  <c:v>66.120002999999997</c:v>
                </c:pt>
                <c:pt idx="1145">
                  <c:v>65.690002000000007</c:v>
                </c:pt>
                <c:pt idx="1146">
                  <c:v>65.559997999999993</c:v>
                </c:pt>
                <c:pt idx="1147">
                  <c:v>65.180000000000007</c:v>
                </c:pt>
                <c:pt idx="1148">
                  <c:v>64.339995999999999</c:v>
                </c:pt>
                <c:pt idx="1149">
                  <c:v>65.239998</c:v>
                </c:pt>
                <c:pt idx="1150">
                  <c:v>65.830001999999993</c:v>
                </c:pt>
                <c:pt idx="1151">
                  <c:v>68</c:v>
                </c:pt>
                <c:pt idx="1152">
                  <c:v>73.339995999999999</c:v>
                </c:pt>
                <c:pt idx="1153">
                  <c:v>70.269997000000004</c:v>
                </c:pt>
                <c:pt idx="1154">
                  <c:v>69.010002</c:v>
                </c:pt>
                <c:pt idx="1155">
                  <c:v>70.809997999999993</c:v>
                </c:pt>
                <c:pt idx="1156">
                  <c:v>68.370002999999997</c:v>
                </c:pt>
                <c:pt idx="1157">
                  <c:v>69.779999000000004</c:v>
                </c:pt>
                <c:pt idx="1158">
                  <c:v>66.779999000000004</c:v>
                </c:pt>
                <c:pt idx="1159">
                  <c:v>68.370002999999997</c:v>
                </c:pt>
                <c:pt idx="1160">
                  <c:v>70.260002</c:v>
                </c:pt>
                <c:pt idx="1161">
                  <c:v>70.75</c:v>
                </c:pt>
                <c:pt idx="1162">
                  <c:v>69.660004000000001</c:v>
                </c:pt>
                <c:pt idx="1163">
                  <c:v>69.209998999999996</c:v>
                </c:pt>
                <c:pt idx="1164">
                  <c:v>67</c:v>
                </c:pt>
                <c:pt idx="1165">
                  <c:v>68.430000000000007</c:v>
                </c:pt>
                <c:pt idx="1166">
                  <c:v>66.319999999999993</c:v>
                </c:pt>
                <c:pt idx="1167">
                  <c:v>64.779999000000004</c:v>
                </c:pt>
                <c:pt idx="1168">
                  <c:v>64.199996999999996</c:v>
                </c:pt>
                <c:pt idx="1169">
                  <c:v>64.440002000000007</c:v>
                </c:pt>
                <c:pt idx="1170">
                  <c:v>65.269997000000004</c:v>
                </c:pt>
                <c:pt idx="1171">
                  <c:v>62.099997999999999</c:v>
                </c:pt>
                <c:pt idx="1172">
                  <c:v>60.439999</c:v>
                </c:pt>
                <c:pt idx="1173">
                  <c:v>59.849997999999999</c:v>
                </c:pt>
                <c:pt idx="1174">
                  <c:v>58.610000999999997</c:v>
                </c:pt>
                <c:pt idx="1175">
                  <c:v>58.759998000000003</c:v>
                </c:pt>
                <c:pt idx="1176">
                  <c:v>58.57</c:v>
                </c:pt>
                <c:pt idx="1177">
                  <c:v>57.639999000000003</c:v>
                </c:pt>
                <c:pt idx="1178">
                  <c:v>58.630001</c:v>
                </c:pt>
                <c:pt idx="1179">
                  <c:v>58.68</c:v>
                </c:pt>
                <c:pt idx="1180">
                  <c:v>61.169998</c:v>
                </c:pt>
                <c:pt idx="1181">
                  <c:v>61.41</c:v>
                </c:pt>
                <c:pt idx="1182">
                  <c:v>56.610000999999997</c:v>
                </c:pt>
                <c:pt idx="1183">
                  <c:v>55.220001000000003</c:v>
                </c:pt>
                <c:pt idx="1184">
                  <c:v>55.299999</c:v>
                </c:pt>
                <c:pt idx="1185">
                  <c:v>55.41</c:v>
                </c:pt>
                <c:pt idx="1186">
                  <c:v>57.150002000000001</c:v>
                </c:pt>
                <c:pt idx="1187">
                  <c:v>56.310001</c:v>
                </c:pt>
                <c:pt idx="1188">
                  <c:v>56.610000999999997</c:v>
                </c:pt>
                <c:pt idx="1189">
                  <c:v>55.509998000000003</c:v>
                </c:pt>
                <c:pt idx="1190">
                  <c:v>54.139999000000003</c:v>
                </c:pt>
                <c:pt idx="1191">
                  <c:v>52.889999000000003</c:v>
                </c:pt>
                <c:pt idx="1192">
                  <c:v>54.290000999999997</c:v>
                </c:pt>
                <c:pt idx="1193">
                  <c:v>58.459999000000003</c:v>
                </c:pt>
                <c:pt idx="1194">
                  <c:v>58.200001</c:v>
                </c:pt>
                <c:pt idx="1195">
                  <c:v>58.919998</c:v>
                </c:pt>
                <c:pt idx="1196">
                  <c:v>60.279998999999997</c:v>
                </c:pt>
                <c:pt idx="1197">
                  <c:v>63.450001</c:v>
                </c:pt>
                <c:pt idx="1198">
                  <c:v>63.619999</c:v>
                </c:pt>
                <c:pt idx="1199">
                  <c:v>63.790000999999997</c:v>
                </c:pt>
                <c:pt idx="1200">
                  <c:v>63.240001999999997</c:v>
                </c:pt>
                <c:pt idx="1201">
                  <c:v>64.089995999999999</c:v>
                </c:pt>
                <c:pt idx="1202">
                  <c:v>64.190002000000007</c:v>
                </c:pt>
                <c:pt idx="1203">
                  <c:v>62.82</c:v>
                </c:pt>
                <c:pt idx="1204">
                  <c:v>62.369999</c:v>
                </c:pt>
                <c:pt idx="1205">
                  <c:v>57.959999000000003</c:v>
                </c:pt>
                <c:pt idx="1206">
                  <c:v>58.98</c:v>
                </c:pt>
                <c:pt idx="1207">
                  <c:v>60.650002000000001</c:v>
                </c:pt>
                <c:pt idx="1208">
                  <c:v>56.34</c:v>
                </c:pt>
                <c:pt idx="1209">
                  <c:v>54.450001</c:v>
                </c:pt>
                <c:pt idx="1210">
                  <c:v>56.32</c:v>
                </c:pt>
                <c:pt idx="1211">
                  <c:v>57.759998000000003</c:v>
                </c:pt>
                <c:pt idx="1212">
                  <c:v>60.470001000000003</c:v>
                </c:pt>
                <c:pt idx="1213">
                  <c:v>60.700001</c:v>
                </c:pt>
                <c:pt idx="1214">
                  <c:v>60.860000999999997</c:v>
                </c:pt>
                <c:pt idx="1215">
                  <c:v>61.939999</c:v>
                </c:pt>
                <c:pt idx="1216">
                  <c:v>61.66</c:v>
                </c:pt>
                <c:pt idx="1217">
                  <c:v>61.580002</c:v>
                </c:pt>
                <c:pt idx="1218">
                  <c:v>57.709999000000003</c:v>
                </c:pt>
                <c:pt idx="1219">
                  <c:v>56.560001</c:v>
                </c:pt>
                <c:pt idx="1220">
                  <c:v>56.68</c:v>
                </c:pt>
                <c:pt idx="1221">
                  <c:v>57.91</c:v>
                </c:pt>
                <c:pt idx="1222">
                  <c:v>60.91</c:v>
                </c:pt>
                <c:pt idx="1223">
                  <c:v>57.049999</c:v>
                </c:pt>
                <c:pt idx="1224">
                  <c:v>65.080001999999993</c:v>
                </c:pt>
                <c:pt idx="1225">
                  <c:v>65.879997000000003</c:v>
                </c:pt>
                <c:pt idx="1226">
                  <c:v>62.970001000000003</c:v>
                </c:pt>
                <c:pt idx="1227">
                  <c:v>64.059997999999993</c:v>
                </c:pt>
                <c:pt idx="1228">
                  <c:v>63.119999</c:v>
                </c:pt>
                <c:pt idx="1229">
                  <c:v>62.919998</c:v>
                </c:pt>
                <c:pt idx="1230">
                  <c:v>64.199996999999996</c:v>
                </c:pt>
                <c:pt idx="1231">
                  <c:v>59.880001</c:v>
                </c:pt>
                <c:pt idx="1232">
                  <c:v>60.970001000000003</c:v>
                </c:pt>
                <c:pt idx="1233">
                  <c:v>60.470001000000003</c:v>
                </c:pt>
                <c:pt idx="1234">
                  <c:v>60.52</c:v>
                </c:pt>
                <c:pt idx="1235">
                  <c:v>62</c:v>
                </c:pt>
                <c:pt idx="1236">
                  <c:v>63.32</c:v>
                </c:pt>
                <c:pt idx="1237">
                  <c:v>63.93</c:v>
                </c:pt>
                <c:pt idx="1238">
                  <c:v>63.73</c:v>
                </c:pt>
                <c:pt idx="1239">
                  <c:v>63.110000999999997</c:v>
                </c:pt>
                <c:pt idx="1240">
                  <c:v>61.330002</c:v>
                </c:pt>
                <c:pt idx="1241">
                  <c:v>62.18</c:v>
                </c:pt>
                <c:pt idx="1242">
                  <c:v>65.470000999999996</c:v>
                </c:pt>
                <c:pt idx="1243">
                  <c:v>66.410004000000001</c:v>
                </c:pt>
                <c:pt idx="1244">
                  <c:v>65.360000999999997</c:v>
                </c:pt>
                <c:pt idx="1245">
                  <c:v>66.480002999999996</c:v>
                </c:pt>
                <c:pt idx="1246">
                  <c:v>67.389999000000003</c:v>
                </c:pt>
                <c:pt idx="1247">
                  <c:v>67.650002000000001</c:v>
                </c:pt>
                <c:pt idx="1248">
                  <c:v>68.269997000000004</c:v>
                </c:pt>
                <c:pt idx="1249">
                  <c:v>67.540001000000004</c:v>
                </c:pt>
                <c:pt idx="1250">
                  <c:v>65.599997999999999</c:v>
                </c:pt>
                <c:pt idx="1251">
                  <c:v>65.309997999999993</c:v>
                </c:pt>
                <c:pt idx="1252">
                  <c:v>66.150002000000001</c:v>
                </c:pt>
                <c:pt idx="1253">
                  <c:v>65.029999000000004</c:v>
                </c:pt>
                <c:pt idx="1254">
                  <c:v>65.300003000000004</c:v>
                </c:pt>
                <c:pt idx="1255">
                  <c:v>65.150002000000001</c:v>
                </c:pt>
                <c:pt idx="1256">
                  <c:v>63.52</c:v>
                </c:pt>
                <c:pt idx="1257">
                  <c:v>65.199996999999996</c:v>
                </c:pt>
                <c:pt idx="1258">
                  <c:v>64.879997000000003</c:v>
                </c:pt>
                <c:pt idx="1259">
                  <c:v>65.349997999999999</c:v>
                </c:pt>
                <c:pt idx="1260">
                  <c:v>66.669998000000007</c:v>
                </c:pt>
                <c:pt idx="1261">
                  <c:v>66.510002</c:v>
                </c:pt>
                <c:pt idx="1262">
                  <c:v>67.239998</c:v>
                </c:pt>
                <c:pt idx="1263">
                  <c:v>67.050003000000004</c:v>
                </c:pt>
                <c:pt idx="1264">
                  <c:v>67.339995999999999</c:v>
                </c:pt>
                <c:pt idx="1265">
                  <c:v>68.779999000000004</c:v>
                </c:pt>
                <c:pt idx="1266">
                  <c:v>70.220000999999996</c:v>
                </c:pt>
                <c:pt idx="1267">
                  <c:v>71.930000000000007</c:v>
                </c:pt>
                <c:pt idx="1268">
                  <c:v>71.739998</c:v>
                </c:pt>
                <c:pt idx="1269">
                  <c:v>71.690002000000007</c:v>
                </c:pt>
                <c:pt idx="1270">
                  <c:v>69.5</c:v>
                </c:pt>
                <c:pt idx="1271">
                  <c:v>70.980002999999996</c:v>
                </c:pt>
                <c:pt idx="1272">
                  <c:v>72.459998999999996</c:v>
                </c:pt>
                <c:pt idx="1273">
                  <c:v>72.110000999999997</c:v>
                </c:pt>
                <c:pt idx="1274">
                  <c:v>73.519997000000004</c:v>
                </c:pt>
                <c:pt idx="1275">
                  <c:v>75.680000000000007</c:v>
                </c:pt>
                <c:pt idx="1276">
                  <c:v>77.330001999999993</c:v>
                </c:pt>
                <c:pt idx="1277">
                  <c:v>76.720000999999996</c:v>
                </c:pt>
                <c:pt idx="1278">
                  <c:v>79.699996999999996</c:v>
                </c:pt>
                <c:pt idx="1279">
                  <c:v>81.540001000000004</c:v>
                </c:pt>
                <c:pt idx="1280">
                  <c:v>84.239998</c:v>
                </c:pt>
                <c:pt idx="1281">
                  <c:v>82.099997999999999</c:v>
                </c:pt>
                <c:pt idx="1282">
                  <c:v>81.949996999999996</c:v>
                </c:pt>
                <c:pt idx="1283">
                  <c:v>81.870002999999997</c:v>
                </c:pt>
                <c:pt idx="1284">
                  <c:v>81.699996999999996</c:v>
                </c:pt>
                <c:pt idx="1285">
                  <c:v>80.309997999999993</c:v>
                </c:pt>
                <c:pt idx="1286">
                  <c:v>80.319999999999993</c:v>
                </c:pt>
                <c:pt idx="1287">
                  <c:v>81.720000999999996</c:v>
                </c:pt>
                <c:pt idx="1288">
                  <c:v>82.279999000000004</c:v>
                </c:pt>
                <c:pt idx="1289">
                  <c:v>83.779999000000004</c:v>
                </c:pt>
                <c:pt idx="1290">
                  <c:v>82.5</c:v>
                </c:pt>
                <c:pt idx="1291">
                  <c:v>81.480002999999996</c:v>
                </c:pt>
                <c:pt idx="1292">
                  <c:v>76.769997000000004</c:v>
                </c:pt>
                <c:pt idx="1293">
                  <c:v>78.540001000000004</c:v>
                </c:pt>
                <c:pt idx="1294">
                  <c:v>80.010002</c:v>
                </c:pt>
                <c:pt idx="1295">
                  <c:v>80.059997999999993</c:v>
                </c:pt>
                <c:pt idx="1296">
                  <c:v>81.489998</c:v>
                </c:pt>
                <c:pt idx="1297">
                  <c:v>84.779999000000004</c:v>
                </c:pt>
                <c:pt idx="1298">
                  <c:v>85.760002</c:v>
                </c:pt>
                <c:pt idx="1299">
                  <c:v>86.699996999999996</c:v>
                </c:pt>
                <c:pt idx="1300">
                  <c:v>89.18</c:v>
                </c:pt>
                <c:pt idx="1301">
                  <c:v>87.290001000000004</c:v>
                </c:pt>
                <c:pt idx="1302">
                  <c:v>86.199996999999996</c:v>
                </c:pt>
                <c:pt idx="1303">
                  <c:v>86.190002000000007</c:v>
                </c:pt>
                <c:pt idx="1304">
                  <c:v>83.809997999999993</c:v>
                </c:pt>
                <c:pt idx="1305">
                  <c:v>81.639999000000003</c:v>
                </c:pt>
                <c:pt idx="1306">
                  <c:v>79.839995999999999</c:v>
                </c:pt>
                <c:pt idx="1307">
                  <c:v>81.050003000000004</c:v>
                </c:pt>
                <c:pt idx="1308">
                  <c:v>79.529999000000004</c:v>
                </c:pt>
                <c:pt idx="1309">
                  <c:v>82.389999000000003</c:v>
                </c:pt>
                <c:pt idx="1310">
                  <c:v>80.089995999999999</c:v>
                </c:pt>
                <c:pt idx="1311">
                  <c:v>82.019997000000004</c:v>
                </c:pt>
                <c:pt idx="1312">
                  <c:v>84.230002999999996</c:v>
                </c:pt>
                <c:pt idx="1313">
                  <c:v>83.82</c:v>
                </c:pt>
                <c:pt idx="1314">
                  <c:v>84.309997999999993</c:v>
                </c:pt>
                <c:pt idx="1315">
                  <c:v>84.459998999999996</c:v>
                </c:pt>
                <c:pt idx="1316">
                  <c:v>85.43</c:v>
                </c:pt>
                <c:pt idx="1317">
                  <c:v>86.300003000000004</c:v>
                </c:pt>
                <c:pt idx="1318">
                  <c:v>86.459998999999996</c:v>
                </c:pt>
                <c:pt idx="1319">
                  <c:v>86.25</c:v>
                </c:pt>
                <c:pt idx="1320">
                  <c:v>88.779999000000004</c:v>
                </c:pt>
                <c:pt idx="1321">
                  <c:v>90.160004000000001</c:v>
                </c:pt>
                <c:pt idx="1322">
                  <c:v>87.360000999999997</c:v>
                </c:pt>
                <c:pt idx="1323">
                  <c:v>85.959998999999996</c:v>
                </c:pt>
                <c:pt idx="1324">
                  <c:v>85.529999000000004</c:v>
                </c:pt>
                <c:pt idx="1325">
                  <c:v>88.620002999999997</c:v>
                </c:pt>
                <c:pt idx="1326">
                  <c:v>92.370002999999997</c:v>
                </c:pt>
                <c:pt idx="1327">
                  <c:v>92.93</c:v>
                </c:pt>
                <c:pt idx="1328">
                  <c:v>93.339995999999999</c:v>
                </c:pt>
                <c:pt idx="1329">
                  <c:v>94.360000999999997</c:v>
                </c:pt>
                <c:pt idx="1330">
                  <c:v>94.300003000000004</c:v>
                </c:pt>
                <c:pt idx="1331">
                  <c:v>96.720000999999996</c:v>
                </c:pt>
                <c:pt idx="1332">
                  <c:v>94.470000999999996</c:v>
                </c:pt>
                <c:pt idx="1333">
                  <c:v>94.730002999999996</c:v>
                </c:pt>
                <c:pt idx="1334">
                  <c:v>93.870002999999997</c:v>
                </c:pt>
                <c:pt idx="1335">
                  <c:v>93.720000999999996</c:v>
                </c:pt>
                <c:pt idx="1336">
                  <c:v>92.389999000000003</c:v>
                </c:pt>
                <c:pt idx="1337">
                  <c:v>90.339995999999999</c:v>
                </c:pt>
                <c:pt idx="1338">
                  <c:v>92.099997999999999</c:v>
                </c:pt>
                <c:pt idx="1339">
                  <c:v>94.769997000000004</c:v>
                </c:pt>
                <c:pt idx="1340">
                  <c:v>93.849997999999999</c:v>
                </c:pt>
                <c:pt idx="1341">
                  <c:v>95.199996999999996</c:v>
                </c:pt>
                <c:pt idx="1342">
                  <c:v>107.459999</c:v>
                </c:pt>
                <c:pt idx="1343">
                  <c:v>106.790001</c:v>
                </c:pt>
                <c:pt idx="1344">
                  <c:v>111.25</c:v>
                </c:pt>
                <c:pt idx="1345">
                  <c:v>113.66999800000001</c:v>
                </c:pt>
                <c:pt idx="1346">
                  <c:v>114.650002</c:v>
                </c:pt>
                <c:pt idx="1347">
                  <c:v>116.459999</c:v>
                </c:pt>
                <c:pt idx="1348">
                  <c:v>117.269997</c:v>
                </c:pt>
                <c:pt idx="1349">
                  <c:v>115.839996</c:v>
                </c:pt>
                <c:pt idx="1350">
                  <c:v>118.160004</c:v>
                </c:pt>
                <c:pt idx="1351">
                  <c:v>119.199997</c:v>
                </c:pt>
                <c:pt idx="1352">
                  <c:v>120.110001</c:v>
                </c:pt>
                <c:pt idx="1353">
                  <c:v>122.30999799999999</c:v>
                </c:pt>
                <c:pt idx="1354">
                  <c:v>120.239998</c:v>
                </c:pt>
                <c:pt idx="1355">
                  <c:v>120.16999800000001</c:v>
                </c:pt>
                <c:pt idx="1356">
                  <c:v>113.010002</c:v>
                </c:pt>
                <c:pt idx="1357">
                  <c:v>114.040001</c:v>
                </c:pt>
                <c:pt idx="1358">
                  <c:v>116.790001</c:v>
                </c:pt>
                <c:pt idx="1359">
                  <c:v>115.58000199999999</c:v>
                </c:pt>
                <c:pt idx="1360">
                  <c:v>117.66999800000001</c:v>
                </c:pt>
                <c:pt idx="1361">
                  <c:v>115.949997</c:v>
                </c:pt>
                <c:pt idx="1362">
                  <c:v>115.860001</c:v>
                </c:pt>
                <c:pt idx="1363">
                  <c:v>118.970001</c:v>
                </c:pt>
                <c:pt idx="1364">
                  <c:v>120.33000199999999</c:v>
                </c:pt>
                <c:pt idx="1365">
                  <c:v>123.91999800000001</c:v>
                </c:pt>
                <c:pt idx="1366">
                  <c:v>122.32</c:v>
                </c:pt>
                <c:pt idx="1367">
                  <c:v>122.30999799999999</c:v>
                </c:pt>
                <c:pt idx="1368">
                  <c:v>122.08000199999999</c:v>
                </c:pt>
                <c:pt idx="1369">
                  <c:v>123.730003</c:v>
                </c:pt>
                <c:pt idx="1370">
                  <c:v>126.019997</c:v>
                </c:pt>
                <c:pt idx="1371">
                  <c:v>121</c:v>
                </c:pt>
                <c:pt idx="1372">
                  <c:v>123.010002</c:v>
                </c:pt>
                <c:pt idx="1373">
                  <c:v>121.410004</c:v>
                </c:pt>
                <c:pt idx="1374">
                  <c:v>126.760002</c:v>
                </c:pt>
                <c:pt idx="1375">
                  <c:v>129.10000600000001</c:v>
                </c:pt>
                <c:pt idx="1376">
                  <c:v>127.510002</c:v>
                </c:pt>
                <c:pt idx="1377">
                  <c:v>127.519997</c:v>
                </c:pt>
                <c:pt idx="1378">
                  <c:v>128.16999799999999</c:v>
                </c:pt>
                <c:pt idx="1379">
                  <c:v>133.479996</c:v>
                </c:pt>
                <c:pt idx="1380">
                  <c:v>135.33999600000001</c:v>
                </c:pt>
                <c:pt idx="1381">
                  <c:v>136.16999799999999</c:v>
                </c:pt>
                <c:pt idx="1382">
                  <c:v>136</c:v>
                </c:pt>
                <c:pt idx="1383">
                  <c:v>136.33000200000001</c:v>
                </c:pt>
                <c:pt idx="1384">
                  <c:v>136.470001</c:v>
                </c:pt>
                <c:pt idx="1385">
                  <c:v>130.80999800000001</c:v>
                </c:pt>
                <c:pt idx="1386">
                  <c:v>133.10000600000001</c:v>
                </c:pt>
                <c:pt idx="1387">
                  <c:v>135.259995</c:v>
                </c:pt>
                <c:pt idx="1388">
                  <c:v>135.470001</c:v>
                </c:pt>
                <c:pt idx="1389">
                  <c:v>139.279999</c:v>
                </c:pt>
                <c:pt idx="1390">
                  <c:v>139.86999499999999</c:v>
                </c:pt>
                <c:pt idx="1391">
                  <c:v>141.16000399999999</c:v>
                </c:pt>
                <c:pt idx="1392">
                  <c:v>142.96000699999999</c:v>
                </c:pt>
                <c:pt idx="1393">
                  <c:v>146.41999799999999</c:v>
                </c:pt>
                <c:pt idx="1394">
                  <c:v>144.320007</c:v>
                </c:pt>
                <c:pt idx="1395">
                  <c:v>139.13999899999999</c:v>
                </c:pt>
                <c:pt idx="1396">
                  <c:v>138.729996</c:v>
                </c:pt>
                <c:pt idx="1397">
                  <c:v>138.25</c:v>
                </c:pt>
                <c:pt idx="1398">
                  <c:v>142.009995</c:v>
                </c:pt>
                <c:pt idx="1399">
                  <c:v>141.770004</c:v>
                </c:pt>
                <c:pt idx="1400">
                  <c:v>141.5</c:v>
                </c:pt>
                <c:pt idx="1401">
                  <c:v>143.64999399999999</c:v>
                </c:pt>
                <c:pt idx="1402">
                  <c:v>144.429993</c:v>
                </c:pt>
                <c:pt idx="1403">
                  <c:v>146.759995</c:v>
                </c:pt>
                <c:pt idx="1404">
                  <c:v>148.63999899999999</c:v>
                </c:pt>
                <c:pt idx="1405">
                  <c:v>144.64999399999999</c:v>
                </c:pt>
                <c:pt idx="1406">
                  <c:v>149.63999899999999</c:v>
                </c:pt>
                <c:pt idx="1407">
                  <c:v>152.220001</c:v>
                </c:pt>
                <c:pt idx="1408">
                  <c:v>151.699997</c:v>
                </c:pt>
                <c:pt idx="1409">
                  <c:v>150.11999499999999</c:v>
                </c:pt>
                <c:pt idx="1410">
                  <c:v>150.320007</c:v>
                </c:pt>
                <c:pt idx="1411">
                  <c:v>147.88999899999999</c:v>
                </c:pt>
                <c:pt idx="1412">
                  <c:v>151.85000600000001</c:v>
                </c:pt>
                <c:pt idx="1413">
                  <c:v>150.69000199999999</c:v>
                </c:pt>
                <c:pt idx="1414">
                  <c:v>147.240005</c:v>
                </c:pt>
                <c:pt idx="1415">
                  <c:v>130.05999800000001</c:v>
                </c:pt>
                <c:pt idx="1416">
                  <c:v>134.13999899999999</c:v>
                </c:pt>
                <c:pt idx="1417">
                  <c:v>132.759995</c:v>
                </c:pt>
                <c:pt idx="1418">
                  <c:v>131.80999800000001</c:v>
                </c:pt>
                <c:pt idx="1419">
                  <c:v>136.61000100000001</c:v>
                </c:pt>
                <c:pt idx="1420">
                  <c:v>132.83999600000001</c:v>
                </c:pt>
                <c:pt idx="1421">
                  <c:v>129.19000199999999</c:v>
                </c:pt>
                <c:pt idx="1422">
                  <c:v>132.88000500000001</c:v>
                </c:pt>
                <c:pt idx="1423">
                  <c:v>139.66999799999999</c:v>
                </c:pt>
                <c:pt idx="1424">
                  <c:v>139.86999499999999</c:v>
                </c:pt>
                <c:pt idx="1425">
                  <c:v>145.03999300000001</c:v>
                </c:pt>
              </c:numCache>
            </c:numRef>
          </c:val>
          <c:smooth val="0"/>
          <c:extLst>
            <c:ext xmlns:c16="http://schemas.microsoft.com/office/drawing/2014/chart" uri="{C3380CC4-5D6E-409C-BE32-E72D297353CC}">
              <c16:uniqueId val="{00000000-634A-475D-87F0-94537325C354}"/>
            </c:ext>
          </c:extLst>
        </c:ser>
        <c:ser>
          <c:idx val="1"/>
          <c:order val="1"/>
          <c:tx>
            <c:v>SPTM</c:v>
          </c:tx>
          <c:spPr>
            <a:ln w="28575" cap="rnd">
              <a:solidFill>
                <a:srgbClr val="002060"/>
              </a:solidFill>
              <a:round/>
            </a:ln>
            <a:effectLst/>
          </c:spPr>
          <c:marker>
            <c:symbol val="none"/>
          </c:marker>
          <c:cat>
            <c:numRef>
              <c:f>Beta!$B$1555:$B$2980</c:f>
              <c:numCache>
                <c:formatCode>m/d/yyyy</c:formatCode>
                <c:ptCount val="1426"/>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pt idx="356">
                  <c:v>43620</c:v>
                </c:pt>
                <c:pt idx="357">
                  <c:v>43621</c:v>
                </c:pt>
                <c:pt idx="358">
                  <c:v>43622</c:v>
                </c:pt>
                <c:pt idx="359">
                  <c:v>43623</c:v>
                </c:pt>
                <c:pt idx="360">
                  <c:v>43626</c:v>
                </c:pt>
                <c:pt idx="361">
                  <c:v>43627</c:v>
                </c:pt>
                <c:pt idx="362">
                  <c:v>43628</c:v>
                </c:pt>
                <c:pt idx="363">
                  <c:v>43629</c:v>
                </c:pt>
                <c:pt idx="364">
                  <c:v>43630</c:v>
                </c:pt>
                <c:pt idx="365">
                  <c:v>43633</c:v>
                </c:pt>
                <c:pt idx="366">
                  <c:v>43634</c:v>
                </c:pt>
                <c:pt idx="367">
                  <c:v>43635</c:v>
                </c:pt>
                <c:pt idx="368">
                  <c:v>43636</c:v>
                </c:pt>
                <c:pt idx="369">
                  <c:v>43637</c:v>
                </c:pt>
                <c:pt idx="370">
                  <c:v>43640</c:v>
                </c:pt>
                <c:pt idx="371">
                  <c:v>43641</c:v>
                </c:pt>
                <c:pt idx="372">
                  <c:v>43642</c:v>
                </c:pt>
                <c:pt idx="373">
                  <c:v>43643</c:v>
                </c:pt>
                <c:pt idx="374">
                  <c:v>43644</c:v>
                </c:pt>
                <c:pt idx="375">
                  <c:v>43647</c:v>
                </c:pt>
                <c:pt idx="376">
                  <c:v>43648</c:v>
                </c:pt>
                <c:pt idx="377">
                  <c:v>43649</c:v>
                </c:pt>
                <c:pt idx="378">
                  <c:v>43651</c:v>
                </c:pt>
                <c:pt idx="379">
                  <c:v>43654</c:v>
                </c:pt>
                <c:pt idx="380">
                  <c:v>43655</c:v>
                </c:pt>
                <c:pt idx="381">
                  <c:v>43656</c:v>
                </c:pt>
                <c:pt idx="382">
                  <c:v>43657</c:v>
                </c:pt>
                <c:pt idx="383">
                  <c:v>43658</c:v>
                </c:pt>
                <c:pt idx="384">
                  <c:v>43661</c:v>
                </c:pt>
                <c:pt idx="385">
                  <c:v>43662</c:v>
                </c:pt>
                <c:pt idx="386">
                  <c:v>43663</c:v>
                </c:pt>
                <c:pt idx="387">
                  <c:v>43664</c:v>
                </c:pt>
                <c:pt idx="388">
                  <c:v>43665</c:v>
                </c:pt>
                <c:pt idx="389">
                  <c:v>43668</c:v>
                </c:pt>
                <c:pt idx="390">
                  <c:v>43669</c:v>
                </c:pt>
                <c:pt idx="391">
                  <c:v>43670</c:v>
                </c:pt>
                <c:pt idx="392">
                  <c:v>43671</c:v>
                </c:pt>
                <c:pt idx="393">
                  <c:v>43672</c:v>
                </c:pt>
                <c:pt idx="394">
                  <c:v>43675</c:v>
                </c:pt>
                <c:pt idx="395">
                  <c:v>43676</c:v>
                </c:pt>
                <c:pt idx="396">
                  <c:v>43677</c:v>
                </c:pt>
                <c:pt idx="397">
                  <c:v>43678</c:v>
                </c:pt>
                <c:pt idx="398">
                  <c:v>43679</c:v>
                </c:pt>
                <c:pt idx="399">
                  <c:v>43682</c:v>
                </c:pt>
                <c:pt idx="400">
                  <c:v>43683</c:v>
                </c:pt>
                <c:pt idx="401">
                  <c:v>43684</c:v>
                </c:pt>
                <c:pt idx="402">
                  <c:v>43685</c:v>
                </c:pt>
                <c:pt idx="403">
                  <c:v>43686</c:v>
                </c:pt>
                <c:pt idx="404">
                  <c:v>43689</c:v>
                </c:pt>
                <c:pt idx="405">
                  <c:v>43690</c:v>
                </c:pt>
                <c:pt idx="406">
                  <c:v>43691</c:v>
                </c:pt>
                <c:pt idx="407">
                  <c:v>43692</c:v>
                </c:pt>
                <c:pt idx="408">
                  <c:v>43693</c:v>
                </c:pt>
                <c:pt idx="409">
                  <c:v>43696</c:v>
                </c:pt>
                <c:pt idx="410">
                  <c:v>43697</c:v>
                </c:pt>
                <c:pt idx="411">
                  <c:v>43698</c:v>
                </c:pt>
                <c:pt idx="412">
                  <c:v>43699</c:v>
                </c:pt>
                <c:pt idx="413">
                  <c:v>43700</c:v>
                </c:pt>
                <c:pt idx="414">
                  <c:v>43703</c:v>
                </c:pt>
                <c:pt idx="415">
                  <c:v>43704</c:v>
                </c:pt>
                <c:pt idx="416">
                  <c:v>43705</c:v>
                </c:pt>
                <c:pt idx="417">
                  <c:v>43706</c:v>
                </c:pt>
                <c:pt idx="418">
                  <c:v>43707</c:v>
                </c:pt>
                <c:pt idx="419">
                  <c:v>43711</c:v>
                </c:pt>
                <c:pt idx="420">
                  <c:v>43712</c:v>
                </c:pt>
                <c:pt idx="421">
                  <c:v>43713</c:v>
                </c:pt>
                <c:pt idx="422">
                  <c:v>43714</c:v>
                </c:pt>
                <c:pt idx="423">
                  <c:v>43717</c:v>
                </c:pt>
                <c:pt idx="424">
                  <c:v>43718</c:v>
                </c:pt>
                <c:pt idx="425">
                  <c:v>43719</c:v>
                </c:pt>
                <c:pt idx="426">
                  <c:v>43720</c:v>
                </c:pt>
                <c:pt idx="427">
                  <c:v>43721</c:v>
                </c:pt>
                <c:pt idx="428">
                  <c:v>43724</c:v>
                </c:pt>
                <c:pt idx="429">
                  <c:v>43725</c:v>
                </c:pt>
                <c:pt idx="430">
                  <c:v>43726</c:v>
                </c:pt>
                <c:pt idx="431">
                  <c:v>43727</c:v>
                </c:pt>
                <c:pt idx="432">
                  <c:v>43728</c:v>
                </c:pt>
                <c:pt idx="433">
                  <c:v>43731</c:v>
                </c:pt>
                <c:pt idx="434">
                  <c:v>43732</c:v>
                </c:pt>
                <c:pt idx="435">
                  <c:v>43733</c:v>
                </c:pt>
                <c:pt idx="436">
                  <c:v>43734</c:v>
                </c:pt>
                <c:pt idx="437">
                  <c:v>43735</c:v>
                </c:pt>
                <c:pt idx="438">
                  <c:v>43738</c:v>
                </c:pt>
                <c:pt idx="439">
                  <c:v>43739</c:v>
                </c:pt>
                <c:pt idx="440">
                  <c:v>43740</c:v>
                </c:pt>
                <c:pt idx="441">
                  <c:v>43741</c:v>
                </c:pt>
                <c:pt idx="442">
                  <c:v>43742</c:v>
                </c:pt>
                <c:pt idx="443">
                  <c:v>43745</c:v>
                </c:pt>
                <c:pt idx="444">
                  <c:v>43746</c:v>
                </c:pt>
                <c:pt idx="445">
                  <c:v>43747</c:v>
                </c:pt>
                <c:pt idx="446">
                  <c:v>43748</c:v>
                </c:pt>
                <c:pt idx="447">
                  <c:v>43749</c:v>
                </c:pt>
                <c:pt idx="448">
                  <c:v>43752</c:v>
                </c:pt>
                <c:pt idx="449">
                  <c:v>43753</c:v>
                </c:pt>
                <c:pt idx="450">
                  <c:v>43754</c:v>
                </c:pt>
                <c:pt idx="451">
                  <c:v>43755</c:v>
                </c:pt>
                <c:pt idx="452">
                  <c:v>43756</c:v>
                </c:pt>
                <c:pt idx="453">
                  <c:v>43759</c:v>
                </c:pt>
                <c:pt idx="454">
                  <c:v>43760</c:v>
                </c:pt>
                <c:pt idx="455">
                  <c:v>43761</c:v>
                </c:pt>
                <c:pt idx="456">
                  <c:v>43762</c:v>
                </c:pt>
                <c:pt idx="457">
                  <c:v>43763</c:v>
                </c:pt>
                <c:pt idx="458">
                  <c:v>43766</c:v>
                </c:pt>
                <c:pt idx="459">
                  <c:v>43767</c:v>
                </c:pt>
                <c:pt idx="460">
                  <c:v>43768</c:v>
                </c:pt>
                <c:pt idx="461">
                  <c:v>43769</c:v>
                </c:pt>
                <c:pt idx="462">
                  <c:v>43770</c:v>
                </c:pt>
                <c:pt idx="463">
                  <c:v>43773</c:v>
                </c:pt>
                <c:pt idx="464">
                  <c:v>43774</c:v>
                </c:pt>
                <c:pt idx="465">
                  <c:v>43775</c:v>
                </c:pt>
                <c:pt idx="466">
                  <c:v>43776</c:v>
                </c:pt>
                <c:pt idx="467">
                  <c:v>43777</c:v>
                </c:pt>
                <c:pt idx="468">
                  <c:v>43780</c:v>
                </c:pt>
                <c:pt idx="469">
                  <c:v>43781</c:v>
                </c:pt>
                <c:pt idx="470">
                  <c:v>43782</c:v>
                </c:pt>
                <c:pt idx="471">
                  <c:v>43783</c:v>
                </c:pt>
                <c:pt idx="472">
                  <c:v>43784</c:v>
                </c:pt>
                <c:pt idx="473">
                  <c:v>43787</c:v>
                </c:pt>
                <c:pt idx="474">
                  <c:v>43788</c:v>
                </c:pt>
                <c:pt idx="475">
                  <c:v>43789</c:v>
                </c:pt>
                <c:pt idx="476">
                  <c:v>43790</c:v>
                </c:pt>
                <c:pt idx="477">
                  <c:v>43791</c:v>
                </c:pt>
                <c:pt idx="478">
                  <c:v>43794</c:v>
                </c:pt>
                <c:pt idx="479">
                  <c:v>43795</c:v>
                </c:pt>
                <c:pt idx="480">
                  <c:v>43796</c:v>
                </c:pt>
                <c:pt idx="481">
                  <c:v>43798</c:v>
                </c:pt>
                <c:pt idx="482">
                  <c:v>43801</c:v>
                </c:pt>
                <c:pt idx="483">
                  <c:v>43802</c:v>
                </c:pt>
                <c:pt idx="484">
                  <c:v>43803</c:v>
                </c:pt>
                <c:pt idx="485">
                  <c:v>43804</c:v>
                </c:pt>
                <c:pt idx="486">
                  <c:v>43805</c:v>
                </c:pt>
                <c:pt idx="487">
                  <c:v>43808</c:v>
                </c:pt>
                <c:pt idx="488">
                  <c:v>43809</c:v>
                </c:pt>
                <c:pt idx="489">
                  <c:v>43810</c:v>
                </c:pt>
                <c:pt idx="490">
                  <c:v>43811</c:v>
                </c:pt>
                <c:pt idx="491">
                  <c:v>43812</c:v>
                </c:pt>
                <c:pt idx="492">
                  <c:v>43815</c:v>
                </c:pt>
                <c:pt idx="493">
                  <c:v>43816</c:v>
                </c:pt>
                <c:pt idx="494">
                  <c:v>43817</c:v>
                </c:pt>
                <c:pt idx="495">
                  <c:v>43818</c:v>
                </c:pt>
                <c:pt idx="496">
                  <c:v>43819</c:v>
                </c:pt>
                <c:pt idx="497">
                  <c:v>43822</c:v>
                </c:pt>
                <c:pt idx="498">
                  <c:v>43823</c:v>
                </c:pt>
                <c:pt idx="499">
                  <c:v>43825</c:v>
                </c:pt>
                <c:pt idx="500">
                  <c:v>43826</c:v>
                </c:pt>
                <c:pt idx="501">
                  <c:v>43829</c:v>
                </c:pt>
                <c:pt idx="502">
                  <c:v>43830</c:v>
                </c:pt>
                <c:pt idx="503">
                  <c:v>43832</c:v>
                </c:pt>
                <c:pt idx="504">
                  <c:v>43833</c:v>
                </c:pt>
                <c:pt idx="505">
                  <c:v>43836</c:v>
                </c:pt>
                <c:pt idx="506">
                  <c:v>43837</c:v>
                </c:pt>
                <c:pt idx="507">
                  <c:v>43838</c:v>
                </c:pt>
                <c:pt idx="508">
                  <c:v>43839</c:v>
                </c:pt>
                <c:pt idx="509">
                  <c:v>43840</c:v>
                </c:pt>
                <c:pt idx="510">
                  <c:v>43843</c:v>
                </c:pt>
                <c:pt idx="511">
                  <c:v>43844</c:v>
                </c:pt>
                <c:pt idx="512">
                  <c:v>43845</c:v>
                </c:pt>
                <c:pt idx="513">
                  <c:v>43846</c:v>
                </c:pt>
                <c:pt idx="514">
                  <c:v>43847</c:v>
                </c:pt>
                <c:pt idx="515">
                  <c:v>43851</c:v>
                </c:pt>
                <c:pt idx="516">
                  <c:v>43852</c:v>
                </c:pt>
                <c:pt idx="517">
                  <c:v>43853</c:v>
                </c:pt>
                <c:pt idx="518">
                  <c:v>43854</c:v>
                </c:pt>
                <c:pt idx="519">
                  <c:v>43857</c:v>
                </c:pt>
                <c:pt idx="520">
                  <c:v>43858</c:v>
                </c:pt>
                <c:pt idx="521">
                  <c:v>43859</c:v>
                </c:pt>
                <c:pt idx="522">
                  <c:v>43860</c:v>
                </c:pt>
                <c:pt idx="523">
                  <c:v>43861</c:v>
                </c:pt>
                <c:pt idx="524">
                  <c:v>43864</c:v>
                </c:pt>
                <c:pt idx="525">
                  <c:v>43865</c:v>
                </c:pt>
                <c:pt idx="526">
                  <c:v>43866</c:v>
                </c:pt>
                <c:pt idx="527">
                  <c:v>43867</c:v>
                </c:pt>
                <c:pt idx="528">
                  <c:v>43868</c:v>
                </c:pt>
                <c:pt idx="529">
                  <c:v>43871</c:v>
                </c:pt>
                <c:pt idx="530">
                  <c:v>43872</c:v>
                </c:pt>
                <c:pt idx="531">
                  <c:v>43873</c:v>
                </c:pt>
                <c:pt idx="532">
                  <c:v>43874</c:v>
                </c:pt>
                <c:pt idx="533">
                  <c:v>43875</c:v>
                </c:pt>
                <c:pt idx="534">
                  <c:v>43879</c:v>
                </c:pt>
                <c:pt idx="535">
                  <c:v>43880</c:v>
                </c:pt>
                <c:pt idx="536">
                  <c:v>43881</c:v>
                </c:pt>
                <c:pt idx="537">
                  <c:v>43882</c:v>
                </c:pt>
                <c:pt idx="538">
                  <c:v>43885</c:v>
                </c:pt>
                <c:pt idx="539">
                  <c:v>43886</c:v>
                </c:pt>
                <c:pt idx="540">
                  <c:v>43887</c:v>
                </c:pt>
                <c:pt idx="541">
                  <c:v>43888</c:v>
                </c:pt>
                <c:pt idx="542">
                  <c:v>43889</c:v>
                </c:pt>
                <c:pt idx="543">
                  <c:v>43892</c:v>
                </c:pt>
                <c:pt idx="544">
                  <c:v>43893</c:v>
                </c:pt>
                <c:pt idx="545">
                  <c:v>43894</c:v>
                </c:pt>
                <c:pt idx="546">
                  <c:v>43895</c:v>
                </c:pt>
                <c:pt idx="547">
                  <c:v>43896</c:v>
                </c:pt>
                <c:pt idx="548">
                  <c:v>43899</c:v>
                </c:pt>
                <c:pt idx="549">
                  <c:v>43900</c:v>
                </c:pt>
                <c:pt idx="550">
                  <c:v>43901</c:v>
                </c:pt>
                <c:pt idx="551">
                  <c:v>43902</c:v>
                </c:pt>
                <c:pt idx="552">
                  <c:v>43903</c:v>
                </c:pt>
                <c:pt idx="553">
                  <c:v>43906</c:v>
                </c:pt>
                <c:pt idx="554">
                  <c:v>43907</c:v>
                </c:pt>
                <c:pt idx="555">
                  <c:v>43908</c:v>
                </c:pt>
                <c:pt idx="556">
                  <c:v>43909</c:v>
                </c:pt>
                <c:pt idx="557">
                  <c:v>43910</c:v>
                </c:pt>
                <c:pt idx="558">
                  <c:v>43913</c:v>
                </c:pt>
                <c:pt idx="559">
                  <c:v>43914</c:v>
                </c:pt>
                <c:pt idx="560">
                  <c:v>43915</c:v>
                </c:pt>
                <c:pt idx="561">
                  <c:v>43916</c:v>
                </c:pt>
                <c:pt idx="562">
                  <c:v>43917</c:v>
                </c:pt>
                <c:pt idx="563">
                  <c:v>43920</c:v>
                </c:pt>
                <c:pt idx="564">
                  <c:v>43921</c:v>
                </c:pt>
                <c:pt idx="565">
                  <c:v>43922</c:v>
                </c:pt>
                <c:pt idx="566">
                  <c:v>43923</c:v>
                </c:pt>
                <c:pt idx="567">
                  <c:v>43924</c:v>
                </c:pt>
                <c:pt idx="568">
                  <c:v>43927</c:v>
                </c:pt>
                <c:pt idx="569">
                  <c:v>43928</c:v>
                </c:pt>
                <c:pt idx="570">
                  <c:v>43929</c:v>
                </c:pt>
                <c:pt idx="571">
                  <c:v>43930</c:v>
                </c:pt>
                <c:pt idx="572">
                  <c:v>43934</c:v>
                </c:pt>
                <c:pt idx="573">
                  <c:v>43935</c:v>
                </c:pt>
                <c:pt idx="574">
                  <c:v>43936</c:v>
                </c:pt>
                <c:pt idx="575">
                  <c:v>43937</c:v>
                </c:pt>
                <c:pt idx="576">
                  <c:v>43938</c:v>
                </c:pt>
                <c:pt idx="577">
                  <c:v>43941</c:v>
                </c:pt>
                <c:pt idx="578">
                  <c:v>43942</c:v>
                </c:pt>
                <c:pt idx="579">
                  <c:v>43943</c:v>
                </c:pt>
                <c:pt idx="580">
                  <c:v>43944</c:v>
                </c:pt>
                <c:pt idx="581">
                  <c:v>43945</c:v>
                </c:pt>
                <c:pt idx="582">
                  <c:v>43948</c:v>
                </c:pt>
                <c:pt idx="583">
                  <c:v>43949</c:v>
                </c:pt>
                <c:pt idx="584">
                  <c:v>43950</c:v>
                </c:pt>
                <c:pt idx="585">
                  <c:v>43951</c:v>
                </c:pt>
                <c:pt idx="586">
                  <c:v>43952</c:v>
                </c:pt>
                <c:pt idx="587">
                  <c:v>43955</c:v>
                </c:pt>
                <c:pt idx="588">
                  <c:v>43956</c:v>
                </c:pt>
                <c:pt idx="589">
                  <c:v>43957</c:v>
                </c:pt>
                <c:pt idx="590">
                  <c:v>43958</c:v>
                </c:pt>
                <c:pt idx="591">
                  <c:v>43959</c:v>
                </c:pt>
                <c:pt idx="592">
                  <c:v>43962</c:v>
                </c:pt>
                <c:pt idx="593">
                  <c:v>43963</c:v>
                </c:pt>
                <c:pt idx="594">
                  <c:v>43964</c:v>
                </c:pt>
                <c:pt idx="595">
                  <c:v>43965</c:v>
                </c:pt>
                <c:pt idx="596">
                  <c:v>43966</c:v>
                </c:pt>
                <c:pt idx="597">
                  <c:v>43969</c:v>
                </c:pt>
                <c:pt idx="598">
                  <c:v>43970</c:v>
                </c:pt>
                <c:pt idx="599">
                  <c:v>43971</c:v>
                </c:pt>
                <c:pt idx="600">
                  <c:v>43972</c:v>
                </c:pt>
                <c:pt idx="601">
                  <c:v>43973</c:v>
                </c:pt>
                <c:pt idx="602">
                  <c:v>43977</c:v>
                </c:pt>
                <c:pt idx="603">
                  <c:v>43978</c:v>
                </c:pt>
                <c:pt idx="604">
                  <c:v>43979</c:v>
                </c:pt>
                <c:pt idx="605">
                  <c:v>43980</c:v>
                </c:pt>
                <c:pt idx="606">
                  <c:v>43983</c:v>
                </c:pt>
                <c:pt idx="607">
                  <c:v>43984</c:v>
                </c:pt>
                <c:pt idx="608">
                  <c:v>43985</c:v>
                </c:pt>
                <c:pt idx="609">
                  <c:v>43986</c:v>
                </c:pt>
                <c:pt idx="610">
                  <c:v>43987</c:v>
                </c:pt>
                <c:pt idx="611">
                  <c:v>43990</c:v>
                </c:pt>
                <c:pt idx="612">
                  <c:v>43991</c:v>
                </c:pt>
                <c:pt idx="613">
                  <c:v>43992</c:v>
                </c:pt>
                <c:pt idx="614">
                  <c:v>43993</c:v>
                </c:pt>
                <c:pt idx="615">
                  <c:v>43994</c:v>
                </c:pt>
                <c:pt idx="616">
                  <c:v>43997</c:v>
                </c:pt>
                <c:pt idx="617">
                  <c:v>43998</c:v>
                </c:pt>
                <c:pt idx="618">
                  <c:v>43999</c:v>
                </c:pt>
                <c:pt idx="619">
                  <c:v>44000</c:v>
                </c:pt>
                <c:pt idx="620">
                  <c:v>44001</c:v>
                </c:pt>
                <c:pt idx="621">
                  <c:v>44004</c:v>
                </c:pt>
                <c:pt idx="622">
                  <c:v>44005</c:v>
                </c:pt>
                <c:pt idx="623">
                  <c:v>44006</c:v>
                </c:pt>
                <c:pt idx="624">
                  <c:v>44007</c:v>
                </c:pt>
                <c:pt idx="625">
                  <c:v>44008</c:v>
                </c:pt>
                <c:pt idx="626">
                  <c:v>44011</c:v>
                </c:pt>
                <c:pt idx="627">
                  <c:v>44012</c:v>
                </c:pt>
                <c:pt idx="628">
                  <c:v>44013</c:v>
                </c:pt>
                <c:pt idx="629">
                  <c:v>44014</c:v>
                </c:pt>
                <c:pt idx="630">
                  <c:v>44018</c:v>
                </c:pt>
                <c:pt idx="631">
                  <c:v>44019</c:v>
                </c:pt>
                <c:pt idx="632">
                  <c:v>44020</c:v>
                </c:pt>
                <c:pt idx="633">
                  <c:v>44021</c:v>
                </c:pt>
                <c:pt idx="634">
                  <c:v>44022</c:v>
                </c:pt>
                <c:pt idx="635">
                  <c:v>44025</c:v>
                </c:pt>
                <c:pt idx="636">
                  <c:v>44026</c:v>
                </c:pt>
                <c:pt idx="637">
                  <c:v>44027</c:v>
                </c:pt>
                <c:pt idx="638">
                  <c:v>44028</c:v>
                </c:pt>
                <c:pt idx="639">
                  <c:v>44029</c:v>
                </c:pt>
                <c:pt idx="640">
                  <c:v>44032</c:v>
                </c:pt>
                <c:pt idx="641">
                  <c:v>44033</c:v>
                </c:pt>
                <c:pt idx="642">
                  <c:v>44034</c:v>
                </c:pt>
                <c:pt idx="643">
                  <c:v>44035</c:v>
                </c:pt>
                <c:pt idx="644">
                  <c:v>44036</c:v>
                </c:pt>
                <c:pt idx="645">
                  <c:v>44039</c:v>
                </c:pt>
                <c:pt idx="646">
                  <c:v>44040</c:v>
                </c:pt>
                <c:pt idx="647">
                  <c:v>44041</c:v>
                </c:pt>
                <c:pt idx="648">
                  <c:v>44042</c:v>
                </c:pt>
                <c:pt idx="649">
                  <c:v>44043</c:v>
                </c:pt>
                <c:pt idx="650">
                  <c:v>44046</c:v>
                </c:pt>
                <c:pt idx="651">
                  <c:v>44047</c:v>
                </c:pt>
                <c:pt idx="652">
                  <c:v>44048</c:v>
                </c:pt>
                <c:pt idx="653">
                  <c:v>44049</c:v>
                </c:pt>
                <c:pt idx="654">
                  <c:v>44050</c:v>
                </c:pt>
                <c:pt idx="655">
                  <c:v>44053</c:v>
                </c:pt>
                <c:pt idx="656">
                  <c:v>44054</c:v>
                </c:pt>
                <c:pt idx="657">
                  <c:v>44055</c:v>
                </c:pt>
                <c:pt idx="658">
                  <c:v>44056</c:v>
                </c:pt>
                <c:pt idx="659">
                  <c:v>44057</c:v>
                </c:pt>
                <c:pt idx="660">
                  <c:v>44060</c:v>
                </c:pt>
                <c:pt idx="661">
                  <c:v>44061</c:v>
                </c:pt>
                <c:pt idx="662">
                  <c:v>44062</c:v>
                </c:pt>
                <c:pt idx="663">
                  <c:v>44063</c:v>
                </c:pt>
                <c:pt idx="664">
                  <c:v>44064</c:v>
                </c:pt>
                <c:pt idx="665">
                  <c:v>44067</c:v>
                </c:pt>
                <c:pt idx="666">
                  <c:v>44068</c:v>
                </c:pt>
                <c:pt idx="667">
                  <c:v>44069</c:v>
                </c:pt>
                <c:pt idx="668">
                  <c:v>44070</c:v>
                </c:pt>
                <c:pt idx="669">
                  <c:v>44071</c:v>
                </c:pt>
                <c:pt idx="670">
                  <c:v>44074</c:v>
                </c:pt>
                <c:pt idx="671">
                  <c:v>44075</c:v>
                </c:pt>
                <c:pt idx="672">
                  <c:v>44076</c:v>
                </c:pt>
                <c:pt idx="673">
                  <c:v>44077</c:v>
                </c:pt>
                <c:pt idx="674">
                  <c:v>44078</c:v>
                </c:pt>
                <c:pt idx="675">
                  <c:v>44082</c:v>
                </c:pt>
                <c:pt idx="676">
                  <c:v>44083</c:v>
                </c:pt>
                <c:pt idx="677">
                  <c:v>44084</c:v>
                </c:pt>
                <c:pt idx="678">
                  <c:v>44085</c:v>
                </c:pt>
                <c:pt idx="679">
                  <c:v>44088</c:v>
                </c:pt>
                <c:pt idx="680">
                  <c:v>44089</c:v>
                </c:pt>
                <c:pt idx="681">
                  <c:v>44090</c:v>
                </c:pt>
                <c:pt idx="682">
                  <c:v>44091</c:v>
                </c:pt>
                <c:pt idx="683">
                  <c:v>44092</c:v>
                </c:pt>
                <c:pt idx="684">
                  <c:v>44095</c:v>
                </c:pt>
                <c:pt idx="685">
                  <c:v>44096</c:v>
                </c:pt>
                <c:pt idx="686">
                  <c:v>44097</c:v>
                </c:pt>
                <c:pt idx="687">
                  <c:v>44098</c:v>
                </c:pt>
                <c:pt idx="688">
                  <c:v>44099</c:v>
                </c:pt>
                <c:pt idx="689">
                  <c:v>44102</c:v>
                </c:pt>
                <c:pt idx="690">
                  <c:v>44103</c:v>
                </c:pt>
                <c:pt idx="691">
                  <c:v>44104</c:v>
                </c:pt>
                <c:pt idx="692">
                  <c:v>44105</c:v>
                </c:pt>
                <c:pt idx="693">
                  <c:v>44106</c:v>
                </c:pt>
                <c:pt idx="694">
                  <c:v>44109</c:v>
                </c:pt>
                <c:pt idx="695">
                  <c:v>44110</c:v>
                </c:pt>
                <c:pt idx="696">
                  <c:v>44111</c:v>
                </c:pt>
                <c:pt idx="697">
                  <c:v>44112</c:v>
                </c:pt>
                <c:pt idx="698">
                  <c:v>44113</c:v>
                </c:pt>
                <c:pt idx="699">
                  <c:v>44116</c:v>
                </c:pt>
                <c:pt idx="700">
                  <c:v>44117</c:v>
                </c:pt>
                <c:pt idx="701">
                  <c:v>44118</c:v>
                </c:pt>
                <c:pt idx="702">
                  <c:v>44119</c:v>
                </c:pt>
                <c:pt idx="703">
                  <c:v>44120</c:v>
                </c:pt>
                <c:pt idx="704">
                  <c:v>44123</c:v>
                </c:pt>
                <c:pt idx="705">
                  <c:v>44124</c:v>
                </c:pt>
                <c:pt idx="706">
                  <c:v>44125</c:v>
                </c:pt>
                <c:pt idx="707">
                  <c:v>44126</c:v>
                </c:pt>
                <c:pt idx="708">
                  <c:v>44127</c:v>
                </c:pt>
                <c:pt idx="709">
                  <c:v>44130</c:v>
                </c:pt>
                <c:pt idx="710">
                  <c:v>44131</c:v>
                </c:pt>
                <c:pt idx="711">
                  <c:v>44132</c:v>
                </c:pt>
                <c:pt idx="712">
                  <c:v>44133</c:v>
                </c:pt>
                <c:pt idx="713">
                  <c:v>44134</c:v>
                </c:pt>
                <c:pt idx="714">
                  <c:v>44137</c:v>
                </c:pt>
                <c:pt idx="715">
                  <c:v>44138</c:v>
                </c:pt>
                <c:pt idx="716">
                  <c:v>44139</c:v>
                </c:pt>
                <c:pt idx="717">
                  <c:v>44140</c:v>
                </c:pt>
                <c:pt idx="718">
                  <c:v>44141</c:v>
                </c:pt>
                <c:pt idx="719">
                  <c:v>44144</c:v>
                </c:pt>
                <c:pt idx="720">
                  <c:v>44145</c:v>
                </c:pt>
                <c:pt idx="721">
                  <c:v>44146</c:v>
                </c:pt>
                <c:pt idx="722">
                  <c:v>44147</c:v>
                </c:pt>
                <c:pt idx="723">
                  <c:v>44148</c:v>
                </c:pt>
                <c:pt idx="724">
                  <c:v>44151</c:v>
                </c:pt>
                <c:pt idx="725">
                  <c:v>44152</c:v>
                </c:pt>
                <c:pt idx="726">
                  <c:v>44153</c:v>
                </c:pt>
                <c:pt idx="727">
                  <c:v>44154</c:v>
                </c:pt>
                <c:pt idx="728">
                  <c:v>44155</c:v>
                </c:pt>
                <c:pt idx="729">
                  <c:v>44158</c:v>
                </c:pt>
                <c:pt idx="730">
                  <c:v>44159</c:v>
                </c:pt>
                <c:pt idx="731">
                  <c:v>44160</c:v>
                </c:pt>
                <c:pt idx="732">
                  <c:v>44162</c:v>
                </c:pt>
                <c:pt idx="733">
                  <c:v>44165</c:v>
                </c:pt>
                <c:pt idx="734">
                  <c:v>44166</c:v>
                </c:pt>
                <c:pt idx="735">
                  <c:v>44167</c:v>
                </c:pt>
                <c:pt idx="736">
                  <c:v>44168</c:v>
                </c:pt>
                <c:pt idx="737">
                  <c:v>44169</c:v>
                </c:pt>
                <c:pt idx="738">
                  <c:v>44172</c:v>
                </c:pt>
                <c:pt idx="739">
                  <c:v>44173</c:v>
                </c:pt>
                <c:pt idx="740">
                  <c:v>44174</c:v>
                </c:pt>
                <c:pt idx="741">
                  <c:v>44175</c:v>
                </c:pt>
                <c:pt idx="742">
                  <c:v>44176</c:v>
                </c:pt>
                <c:pt idx="743">
                  <c:v>44179</c:v>
                </c:pt>
                <c:pt idx="744">
                  <c:v>44180</c:v>
                </c:pt>
                <c:pt idx="745">
                  <c:v>44181</c:v>
                </c:pt>
                <c:pt idx="746">
                  <c:v>44182</c:v>
                </c:pt>
                <c:pt idx="747">
                  <c:v>44183</c:v>
                </c:pt>
                <c:pt idx="748">
                  <c:v>44186</c:v>
                </c:pt>
                <c:pt idx="749">
                  <c:v>44187</c:v>
                </c:pt>
                <c:pt idx="750">
                  <c:v>44188</c:v>
                </c:pt>
                <c:pt idx="751">
                  <c:v>44189</c:v>
                </c:pt>
                <c:pt idx="752">
                  <c:v>44193</c:v>
                </c:pt>
                <c:pt idx="753">
                  <c:v>44194</c:v>
                </c:pt>
                <c:pt idx="754">
                  <c:v>44195</c:v>
                </c:pt>
                <c:pt idx="755">
                  <c:v>44196</c:v>
                </c:pt>
                <c:pt idx="756">
                  <c:v>44200</c:v>
                </c:pt>
                <c:pt idx="757">
                  <c:v>44201</c:v>
                </c:pt>
                <c:pt idx="758">
                  <c:v>44202</c:v>
                </c:pt>
                <c:pt idx="759">
                  <c:v>44203</c:v>
                </c:pt>
                <c:pt idx="760">
                  <c:v>44204</c:v>
                </c:pt>
                <c:pt idx="761">
                  <c:v>44207</c:v>
                </c:pt>
                <c:pt idx="762">
                  <c:v>44208</c:v>
                </c:pt>
                <c:pt idx="763">
                  <c:v>44209</c:v>
                </c:pt>
                <c:pt idx="764">
                  <c:v>44210</c:v>
                </c:pt>
                <c:pt idx="765">
                  <c:v>44211</c:v>
                </c:pt>
                <c:pt idx="766">
                  <c:v>44215</c:v>
                </c:pt>
                <c:pt idx="767">
                  <c:v>44216</c:v>
                </c:pt>
                <c:pt idx="768">
                  <c:v>44217</c:v>
                </c:pt>
                <c:pt idx="769">
                  <c:v>44218</c:v>
                </c:pt>
                <c:pt idx="770">
                  <c:v>44221</c:v>
                </c:pt>
                <c:pt idx="771">
                  <c:v>44222</c:v>
                </c:pt>
                <c:pt idx="772">
                  <c:v>44223</c:v>
                </c:pt>
                <c:pt idx="773">
                  <c:v>44224</c:v>
                </c:pt>
                <c:pt idx="774">
                  <c:v>44225</c:v>
                </c:pt>
                <c:pt idx="775">
                  <c:v>44228</c:v>
                </c:pt>
                <c:pt idx="776">
                  <c:v>44229</c:v>
                </c:pt>
                <c:pt idx="777">
                  <c:v>44230</c:v>
                </c:pt>
                <c:pt idx="778">
                  <c:v>44231</c:v>
                </c:pt>
                <c:pt idx="779">
                  <c:v>44232</c:v>
                </c:pt>
                <c:pt idx="780">
                  <c:v>44235</c:v>
                </c:pt>
                <c:pt idx="781">
                  <c:v>44236</c:v>
                </c:pt>
                <c:pt idx="782">
                  <c:v>44237</c:v>
                </c:pt>
                <c:pt idx="783">
                  <c:v>44238</c:v>
                </c:pt>
                <c:pt idx="784">
                  <c:v>44239</c:v>
                </c:pt>
                <c:pt idx="785">
                  <c:v>44243</c:v>
                </c:pt>
                <c:pt idx="786">
                  <c:v>44244</c:v>
                </c:pt>
                <c:pt idx="787">
                  <c:v>44245</c:v>
                </c:pt>
                <c:pt idx="788">
                  <c:v>44246</c:v>
                </c:pt>
                <c:pt idx="789">
                  <c:v>44249</c:v>
                </c:pt>
                <c:pt idx="790">
                  <c:v>44250</c:v>
                </c:pt>
                <c:pt idx="791">
                  <c:v>44251</c:v>
                </c:pt>
                <c:pt idx="792">
                  <c:v>44252</c:v>
                </c:pt>
                <c:pt idx="793">
                  <c:v>44253</c:v>
                </c:pt>
                <c:pt idx="794">
                  <c:v>44256</c:v>
                </c:pt>
                <c:pt idx="795">
                  <c:v>44257</c:v>
                </c:pt>
                <c:pt idx="796">
                  <c:v>44258</c:v>
                </c:pt>
                <c:pt idx="797">
                  <c:v>44259</c:v>
                </c:pt>
                <c:pt idx="798">
                  <c:v>44260</c:v>
                </c:pt>
                <c:pt idx="799">
                  <c:v>44263</c:v>
                </c:pt>
                <c:pt idx="800">
                  <c:v>44264</c:v>
                </c:pt>
                <c:pt idx="801">
                  <c:v>44265</c:v>
                </c:pt>
                <c:pt idx="802">
                  <c:v>44266</c:v>
                </c:pt>
                <c:pt idx="803">
                  <c:v>44267</c:v>
                </c:pt>
                <c:pt idx="804">
                  <c:v>44270</c:v>
                </c:pt>
                <c:pt idx="805">
                  <c:v>44271</c:v>
                </c:pt>
                <c:pt idx="806">
                  <c:v>44272</c:v>
                </c:pt>
                <c:pt idx="807">
                  <c:v>44273</c:v>
                </c:pt>
                <c:pt idx="808">
                  <c:v>44274</c:v>
                </c:pt>
                <c:pt idx="809">
                  <c:v>44277</c:v>
                </c:pt>
                <c:pt idx="810">
                  <c:v>44278</c:v>
                </c:pt>
                <c:pt idx="811">
                  <c:v>44279</c:v>
                </c:pt>
                <c:pt idx="812">
                  <c:v>44280</c:v>
                </c:pt>
                <c:pt idx="813">
                  <c:v>44281</c:v>
                </c:pt>
                <c:pt idx="814">
                  <c:v>44284</c:v>
                </c:pt>
                <c:pt idx="815">
                  <c:v>44285</c:v>
                </c:pt>
                <c:pt idx="816">
                  <c:v>44286</c:v>
                </c:pt>
                <c:pt idx="817">
                  <c:v>44287</c:v>
                </c:pt>
                <c:pt idx="818">
                  <c:v>44291</c:v>
                </c:pt>
                <c:pt idx="819">
                  <c:v>44292</c:v>
                </c:pt>
                <c:pt idx="820">
                  <c:v>44293</c:v>
                </c:pt>
                <c:pt idx="821">
                  <c:v>44294</c:v>
                </c:pt>
                <c:pt idx="822">
                  <c:v>44295</c:v>
                </c:pt>
                <c:pt idx="823">
                  <c:v>44298</c:v>
                </c:pt>
                <c:pt idx="824">
                  <c:v>44299</c:v>
                </c:pt>
                <c:pt idx="825">
                  <c:v>44300</c:v>
                </c:pt>
                <c:pt idx="826">
                  <c:v>44301</c:v>
                </c:pt>
                <c:pt idx="827">
                  <c:v>44302</c:v>
                </c:pt>
                <c:pt idx="828">
                  <c:v>44305</c:v>
                </c:pt>
                <c:pt idx="829">
                  <c:v>44306</c:v>
                </c:pt>
                <c:pt idx="830">
                  <c:v>44307</c:v>
                </c:pt>
                <c:pt idx="831">
                  <c:v>44308</c:v>
                </c:pt>
                <c:pt idx="832">
                  <c:v>44309</c:v>
                </c:pt>
                <c:pt idx="833">
                  <c:v>44312</c:v>
                </c:pt>
                <c:pt idx="834">
                  <c:v>44313</c:v>
                </c:pt>
                <c:pt idx="835">
                  <c:v>44314</c:v>
                </c:pt>
                <c:pt idx="836">
                  <c:v>44315</c:v>
                </c:pt>
                <c:pt idx="837">
                  <c:v>44316</c:v>
                </c:pt>
                <c:pt idx="838">
                  <c:v>44319</c:v>
                </c:pt>
                <c:pt idx="839">
                  <c:v>44320</c:v>
                </c:pt>
                <c:pt idx="840">
                  <c:v>44321</c:v>
                </c:pt>
                <c:pt idx="841">
                  <c:v>44322</c:v>
                </c:pt>
                <c:pt idx="842">
                  <c:v>44323</c:v>
                </c:pt>
                <c:pt idx="843">
                  <c:v>44326</c:v>
                </c:pt>
                <c:pt idx="844">
                  <c:v>44327</c:v>
                </c:pt>
                <c:pt idx="845">
                  <c:v>44328</c:v>
                </c:pt>
                <c:pt idx="846">
                  <c:v>44329</c:v>
                </c:pt>
                <c:pt idx="847">
                  <c:v>44330</c:v>
                </c:pt>
                <c:pt idx="848">
                  <c:v>44333</c:v>
                </c:pt>
                <c:pt idx="849">
                  <c:v>44334</c:v>
                </c:pt>
                <c:pt idx="850">
                  <c:v>44335</c:v>
                </c:pt>
                <c:pt idx="851">
                  <c:v>44336</c:v>
                </c:pt>
                <c:pt idx="852">
                  <c:v>44337</c:v>
                </c:pt>
                <c:pt idx="853">
                  <c:v>44340</c:v>
                </c:pt>
                <c:pt idx="854">
                  <c:v>44341</c:v>
                </c:pt>
                <c:pt idx="855">
                  <c:v>44342</c:v>
                </c:pt>
                <c:pt idx="856">
                  <c:v>44343</c:v>
                </c:pt>
                <c:pt idx="857">
                  <c:v>44344</c:v>
                </c:pt>
                <c:pt idx="858">
                  <c:v>44348</c:v>
                </c:pt>
                <c:pt idx="859">
                  <c:v>44349</c:v>
                </c:pt>
                <c:pt idx="860">
                  <c:v>44350</c:v>
                </c:pt>
                <c:pt idx="861">
                  <c:v>44351</c:v>
                </c:pt>
                <c:pt idx="862">
                  <c:v>44354</c:v>
                </c:pt>
                <c:pt idx="863">
                  <c:v>44355</c:v>
                </c:pt>
                <c:pt idx="864">
                  <c:v>44356</c:v>
                </c:pt>
                <c:pt idx="865">
                  <c:v>44357</c:v>
                </c:pt>
                <c:pt idx="866">
                  <c:v>44358</c:v>
                </c:pt>
                <c:pt idx="867">
                  <c:v>44361</c:v>
                </c:pt>
                <c:pt idx="868">
                  <c:v>44362</c:v>
                </c:pt>
                <c:pt idx="869">
                  <c:v>44363</c:v>
                </c:pt>
                <c:pt idx="870">
                  <c:v>44364</c:v>
                </c:pt>
                <c:pt idx="871">
                  <c:v>44365</c:v>
                </c:pt>
                <c:pt idx="872">
                  <c:v>44368</c:v>
                </c:pt>
                <c:pt idx="873">
                  <c:v>44369</c:v>
                </c:pt>
                <c:pt idx="874">
                  <c:v>44370</c:v>
                </c:pt>
                <c:pt idx="875">
                  <c:v>44371</c:v>
                </c:pt>
                <c:pt idx="876">
                  <c:v>44372</c:v>
                </c:pt>
                <c:pt idx="877">
                  <c:v>44375</c:v>
                </c:pt>
                <c:pt idx="878">
                  <c:v>44376</c:v>
                </c:pt>
                <c:pt idx="879">
                  <c:v>44377</c:v>
                </c:pt>
                <c:pt idx="880">
                  <c:v>44378</c:v>
                </c:pt>
                <c:pt idx="881">
                  <c:v>44379</c:v>
                </c:pt>
                <c:pt idx="882">
                  <c:v>44383</c:v>
                </c:pt>
                <c:pt idx="883">
                  <c:v>44384</c:v>
                </c:pt>
                <c:pt idx="884">
                  <c:v>44385</c:v>
                </c:pt>
                <c:pt idx="885">
                  <c:v>44386</c:v>
                </c:pt>
                <c:pt idx="886">
                  <c:v>44389</c:v>
                </c:pt>
                <c:pt idx="887">
                  <c:v>44390</c:v>
                </c:pt>
                <c:pt idx="888">
                  <c:v>44391</c:v>
                </c:pt>
                <c:pt idx="889">
                  <c:v>44392</c:v>
                </c:pt>
                <c:pt idx="890">
                  <c:v>44393</c:v>
                </c:pt>
                <c:pt idx="891">
                  <c:v>44396</c:v>
                </c:pt>
                <c:pt idx="892">
                  <c:v>44397</c:v>
                </c:pt>
                <c:pt idx="893">
                  <c:v>44398</c:v>
                </c:pt>
                <c:pt idx="894">
                  <c:v>44399</c:v>
                </c:pt>
                <c:pt idx="895">
                  <c:v>44400</c:v>
                </c:pt>
                <c:pt idx="896">
                  <c:v>44403</c:v>
                </c:pt>
                <c:pt idx="897">
                  <c:v>44404</c:v>
                </c:pt>
                <c:pt idx="898">
                  <c:v>44405</c:v>
                </c:pt>
                <c:pt idx="899">
                  <c:v>44406</c:v>
                </c:pt>
                <c:pt idx="900">
                  <c:v>44407</c:v>
                </c:pt>
                <c:pt idx="901">
                  <c:v>44410</c:v>
                </c:pt>
                <c:pt idx="902">
                  <c:v>44411</c:v>
                </c:pt>
                <c:pt idx="903">
                  <c:v>44412</c:v>
                </c:pt>
                <c:pt idx="904">
                  <c:v>44413</c:v>
                </c:pt>
                <c:pt idx="905">
                  <c:v>44414</c:v>
                </c:pt>
                <c:pt idx="906">
                  <c:v>44417</c:v>
                </c:pt>
                <c:pt idx="907">
                  <c:v>44418</c:v>
                </c:pt>
                <c:pt idx="908">
                  <c:v>44419</c:v>
                </c:pt>
                <c:pt idx="909">
                  <c:v>44420</c:v>
                </c:pt>
                <c:pt idx="910">
                  <c:v>44421</c:v>
                </c:pt>
                <c:pt idx="911">
                  <c:v>44424</c:v>
                </c:pt>
                <c:pt idx="912">
                  <c:v>44425</c:v>
                </c:pt>
                <c:pt idx="913">
                  <c:v>44426</c:v>
                </c:pt>
                <c:pt idx="914">
                  <c:v>44427</c:v>
                </c:pt>
                <c:pt idx="915">
                  <c:v>44428</c:v>
                </c:pt>
                <c:pt idx="916">
                  <c:v>44431</c:v>
                </c:pt>
                <c:pt idx="917">
                  <c:v>44432</c:v>
                </c:pt>
                <c:pt idx="918">
                  <c:v>44433</c:v>
                </c:pt>
                <c:pt idx="919">
                  <c:v>44434</c:v>
                </c:pt>
                <c:pt idx="920">
                  <c:v>44435</c:v>
                </c:pt>
                <c:pt idx="921">
                  <c:v>44438</c:v>
                </c:pt>
                <c:pt idx="922">
                  <c:v>44439</c:v>
                </c:pt>
                <c:pt idx="923">
                  <c:v>44440</c:v>
                </c:pt>
                <c:pt idx="924">
                  <c:v>44441</c:v>
                </c:pt>
                <c:pt idx="925">
                  <c:v>44442</c:v>
                </c:pt>
                <c:pt idx="926">
                  <c:v>44446</c:v>
                </c:pt>
                <c:pt idx="927">
                  <c:v>44447</c:v>
                </c:pt>
                <c:pt idx="928">
                  <c:v>44448</c:v>
                </c:pt>
                <c:pt idx="929">
                  <c:v>44449</c:v>
                </c:pt>
                <c:pt idx="930">
                  <c:v>44452</c:v>
                </c:pt>
                <c:pt idx="931">
                  <c:v>44453</c:v>
                </c:pt>
                <c:pt idx="932">
                  <c:v>44454</c:v>
                </c:pt>
                <c:pt idx="933">
                  <c:v>44455</c:v>
                </c:pt>
                <c:pt idx="934">
                  <c:v>44456</c:v>
                </c:pt>
                <c:pt idx="935">
                  <c:v>44459</c:v>
                </c:pt>
                <c:pt idx="936">
                  <c:v>44460</c:v>
                </c:pt>
                <c:pt idx="937">
                  <c:v>44461</c:v>
                </c:pt>
                <c:pt idx="938">
                  <c:v>44462</c:v>
                </c:pt>
                <c:pt idx="939">
                  <c:v>44463</c:v>
                </c:pt>
                <c:pt idx="940">
                  <c:v>44466</c:v>
                </c:pt>
                <c:pt idx="941">
                  <c:v>44467</c:v>
                </c:pt>
                <c:pt idx="942">
                  <c:v>44468</c:v>
                </c:pt>
                <c:pt idx="943">
                  <c:v>44469</c:v>
                </c:pt>
                <c:pt idx="944">
                  <c:v>44470</c:v>
                </c:pt>
                <c:pt idx="945">
                  <c:v>44473</c:v>
                </c:pt>
                <c:pt idx="946">
                  <c:v>44474</c:v>
                </c:pt>
                <c:pt idx="947">
                  <c:v>44475</c:v>
                </c:pt>
                <c:pt idx="948">
                  <c:v>44476</c:v>
                </c:pt>
                <c:pt idx="949">
                  <c:v>44477</c:v>
                </c:pt>
                <c:pt idx="950">
                  <c:v>44480</c:v>
                </c:pt>
                <c:pt idx="951">
                  <c:v>44481</c:v>
                </c:pt>
                <c:pt idx="952">
                  <c:v>44482</c:v>
                </c:pt>
                <c:pt idx="953">
                  <c:v>44483</c:v>
                </c:pt>
                <c:pt idx="954">
                  <c:v>44484</c:v>
                </c:pt>
                <c:pt idx="955">
                  <c:v>44487</c:v>
                </c:pt>
                <c:pt idx="956">
                  <c:v>44488</c:v>
                </c:pt>
                <c:pt idx="957">
                  <c:v>44489</c:v>
                </c:pt>
                <c:pt idx="958">
                  <c:v>44490</c:v>
                </c:pt>
                <c:pt idx="959">
                  <c:v>44491</c:v>
                </c:pt>
                <c:pt idx="960">
                  <c:v>44494</c:v>
                </c:pt>
                <c:pt idx="961">
                  <c:v>44495</c:v>
                </c:pt>
                <c:pt idx="962">
                  <c:v>44496</c:v>
                </c:pt>
                <c:pt idx="963">
                  <c:v>44497</c:v>
                </c:pt>
                <c:pt idx="964">
                  <c:v>44498</c:v>
                </c:pt>
                <c:pt idx="965">
                  <c:v>44501</c:v>
                </c:pt>
                <c:pt idx="966">
                  <c:v>44502</c:v>
                </c:pt>
                <c:pt idx="967">
                  <c:v>44503</c:v>
                </c:pt>
                <c:pt idx="968">
                  <c:v>44504</c:v>
                </c:pt>
                <c:pt idx="969">
                  <c:v>44505</c:v>
                </c:pt>
                <c:pt idx="970">
                  <c:v>44508</c:v>
                </c:pt>
                <c:pt idx="971">
                  <c:v>44509</c:v>
                </c:pt>
                <c:pt idx="972">
                  <c:v>44510</c:v>
                </c:pt>
                <c:pt idx="973">
                  <c:v>44511</c:v>
                </c:pt>
                <c:pt idx="974">
                  <c:v>44512</c:v>
                </c:pt>
                <c:pt idx="975">
                  <c:v>44515</c:v>
                </c:pt>
                <c:pt idx="976">
                  <c:v>44516</c:v>
                </c:pt>
                <c:pt idx="977">
                  <c:v>44517</c:v>
                </c:pt>
                <c:pt idx="978">
                  <c:v>44518</c:v>
                </c:pt>
                <c:pt idx="979">
                  <c:v>44519</c:v>
                </c:pt>
                <c:pt idx="980">
                  <c:v>44522</c:v>
                </c:pt>
                <c:pt idx="981">
                  <c:v>44523</c:v>
                </c:pt>
                <c:pt idx="982">
                  <c:v>44524</c:v>
                </c:pt>
                <c:pt idx="983">
                  <c:v>44526</c:v>
                </c:pt>
                <c:pt idx="984">
                  <c:v>44529</c:v>
                </c:pt>
                <c:pt idx="985">
                  <c:v>44530</c:v>
                </c:pt>
                <c:pt idx="986">
                  <c:v>44531</c:v>
                </c:pt>
                <c:pt idx="987">
                  <c:v>44532</c:v>
                </c:pt>
                <c:pt idx="988">
                  <c:v>44533</c:v>
                </c:pt>
                <c:pt idx="989">
                  <c:v>44536</c:v>
                </c:pt>
                <c:pt idx="990">
                  <c:v>44537</c:v>
                </c:pt>
                <c:pt idx="991">
                  <c:v>44538</c:v>
                </c:pt>
                <c:pt idx="992">
                  <c:v>44539</c:v>
                </c:pt>
                <c:pt idx="993">
                  <c:v>44540</c:v>
                </c:pt>
                <c:pt idx="994">
                  <c:v>44543</c:v>
                </c:pt>
                <c:pt idx="995">
                  <c:v>44544</c:v>
                </c:pt>
                <c:pt idx="996">
                  <c:v>44545</c:v>
                </c:pt>
                <c:pt idx="997">
                  <c:v>44546</c:v>
                </c:pt>
                <c:pt idx="998">
                  <c:v>44547</c:v>
                </c:pt>
                <c:pt idx="999">
                  <c:v>44550</c:v>
                </c:pt>
                <c:pt idx="1000">
                  <c:v>44551</c:v>
                </c:pt>
                <c:pt idx="1001">
                  <c:v>44552</c:v>
                </c:pt>
                <c:pt idx="1002">
                  <c:v>44553</c:v>
                </c:pt>
                <c:pt idx="1003">
                  <c:v>44557</c:v>
                </c:pt>
                <c:pt idx="1004">
                  <c:v>44558</c:v>
                </c:pt>
                <c:pt idx="1005">
                  <c:v>44559</c:v>
                </c:pt>
                <c:pt idx="1006">
                  <c:v>44560</c:v>
                </c:pt>
                <c:pt idx="1007">
                  <c:v>44561</c:v>
                </c:pt>
                <c:pt idx="1008">
                  <c:v>44564</c:v>
                </c:pt>
                <c:pt idx="1009">
                  <c:v>44565</c:v>
                </c:pt>
                <c:pt idx="1010">
                  <c:v>44566</c:v>
                </c:pt>
                <c:pt idx="1011">
                  <c:v>44567</c:v>
                </c:pt>
                <c:pt idx="1012">
                  <c:v>44568</c:v>
                </c:pt>
                <c:pt idx="1013">
                  <c:v>44571</c:v>
                </c:pt>
                <c:pt idx="1014">
                  <c:v>44572</c:v>
                </c:pt>
                <c:pt idx="1015">
                  <c:v>44573</c:v>
                </c:pt>
                <c:pt idx="1016">
                  <c:v>44574</c:v>
                </c:pt>
                <c:pt idx="1017">
                  <c:v>44575</c:v>
                </c:pt>
                <c:pt idx="1018">
                  <c:v>44579</c:v>
                </c:pt>
                <c:pt idx="1019">
                  <c:v>44580</c:v>
                </c:pt>
                <c:pt idx="1020">
                  <c:v>44581</c:v>
                </c:pt>
                <c:pt idx="1021">
                  <c:v>44582</c:v>
                </c:pt>
                <c:pt idx="1022">
                  <c:v>44585</c:v>
                </c:pt>
                <c:pt idx="1023">
                  <c:v>44586</c:v>
                </c:pt>
                <c:pt idx="1024">
                  <c:v>44587</c:v>
                </c:pt>
                <c:pt idx="1025">
                  <c:v>44588</c:v>
                </c:pt>
                <c:pt idx="1026">
                  <c:v>44589</c:v>
                </c:pt>
                <c:pt idx="1027">
                  <c:v>44592</c:v>
                </c:pt>
                <c:pt idx="1028">
                  <c:v>44593</c:v>
                </c:pt>
                <c:pt idx="1029">
                  <c:v>44594</c:v>
                </c:pt>
                <c:pt idx="1030">
                  <c:v>44595</c:v>
                </c:pt>
                <c:pt idx="1031">
                  <c:v>44596</c:v>
                </c:pt>
                <c:pt idx="1032">
                  <c:v>44599</c:v>
                </c:pt>
                <c:pt idx="1033">
                  <c:v>44600</c:v>
                </c:pt>
                <c:pt idx="1034">
                  <c:v>44601</c:v>
                </c:pt>
                <c:pt idx="1035">
                  <c:v>44602</c:v>
                </c:pt>
                <c:pt idx="1036">
                  <c:v>44603</c:v>
                </c:pt>
                <c:pt idx="1037">
                  <c:v>44606</c:v>
                </c:pt>
                <c:pt idx="1038">
                  <c:v>44607</c:v>
                </c:pt>
                <c:pt idx="1039">
                  <c:v>44608</c:v>
                </c:pt>
                <c:pt idx="1040">
                  <c:v>44609</c:v>
                </c:pt>
                <c:pt idx="1041">
                  <c:v>44610</c:v>
                </c:pt>
                <c:pt idx="1042">
                  <c:v>44614</c:v>
                </c:pt>
                <c:pt idx="1043">
                  <c:v>44615</c:v>
                </c:pt>
                <c:pt idx="1044">
                  <c:v>44616</c:v>
                </c:pt>
                <c:pt idx="1045">
                  <c:v>44617</c:v>
                </c:pt>
                <c:pt idx="1046">
                  <c:v>44620</c:v>
                </c:pt>
                <c:pt idx="1047">
                  <c:v>44621</c:v>
                </c:pt>
                <c:pt idx="1048">
                  <c:v>44622</c:v>
                </c:pt>
                <c:pt idx="1049">
                  <c:v>44623</c:v>
                </c:pt>
                <c:pt idx="1050">
                  <c:v>44624</c:v>
                </c:pt>
                <c:pt idx="1051">
                  <c:v>44627</c:v>
                </c:pt>
                <c:pt idx="1052">
                  <c:v>44628</c:v>
                </c:pt>
                <c:pt idx="1053">
                  <c:v>44629</c:v>
                </c:pt>
                <c:pt idx="1054">
                  <c:v>44630</c:v>
                </c:pt>
                <c:pt idx="1055">
                  <c:v>44631</c:v>
                </c:pt>
                <c:pt idx="1056">
                  <c:v>44634</c:v>
                </c:pt>
                <c:pt idx="1057">
                  <c:v>44635</c:v>
                </c:pt>
                <c:pt idx="1058">
                  <c:v>44636</c:v>
                </c:pt>
                <c:pt idx="1059">
                  <c:v>44637</c:v>
                </c:pt>
                <c:pt idx="1060">
                  <c:v>44638</c:v>
                </c:pt>
                <c:pt idx="1061">
                  <c:v>44641</c:v>
                </c:pt>
                <c:pt idx="1062">
                  <c:v>44642</c:v>
                </c:pt>
                <c:pt idx="1063">
                  <c:v>44643</c:v>
                </c:pt>
                <c:pt idx="1064">
                  <c:v>44644</c:v>
                </c:pt>
                <c:pt idx="1065">
                  <c:v>44645</c:v>
                </c:pt>
                <c:pt idx="1066">
                  <c:v>44648</c:v>
                </c:pt>
                <c:pt idx="1067">
                  <c:v>44649</c:v>
                </c:pt>
                <c:pt idx="1068">
                  <c:v>44650</c:v>
                </c:pt>
                <c:pt idx="1069">
                  <c:v>44651</c:v>
                </c:pt>
                <c:pt idx="1070">
                  <c:v>44652</c:v>
                </c:pt>
                <c:pt idx="1071">
                  <c:v>44655</c:v>
                </c:pt>
                <c:pt idx="1072">
                  <c:v>44656</c:v>
                </c:pt>
                <c:pt idx="1073">
                  <c:v>44657</c:v>
                </c:pt>
                <c:pt idx="1074">
                  <c:v>44658</c:v>
                </c:pt>
                <c:pt idx="1075">
                  <c:v>44659</c:v>
                </c:pt>
                <c:pt idx="1076">
                  <c:v>44662</c:v>
                </c:pt>
                <c:pt idx="1077">
                  <c:v>44663</c:v>
                </c:pt>
                <c:pt idx="1078">
                  <c:v>44664</c:v>
                </c:pt>
                <c:pt idx="1079">
                  <c:v>44665</c:v>
                </c:pt>
                <c:pt idx="1080">
                  <c:v>44669</c:v>
                </c:pt>
                <c:pt idx="1081">
                  <c:v>44670</c:v>
                </c:pt>
                <c:pt idx="1082">
                  <c:v>44671</c:v>
                </c:pt>
                <c:pt idx="1083">
                  <c:v>44672</c:v>
                </c:pt>
                <c:pt idx="1084">
                  <c:v>44673</c:v>
                </c:pt>
                <c:pt idx="1085">
                  <c:v>44676</c:v>
                </c:pt>
                <c:pt idx="1086">
                  <c:v>44677</c:v>
                </c:pt>
                <c:pt idx="1087">
                  <c:v>44678</c:v>
                </c:pt>
                <c:pt idx="1088">
                  <c:v>44679</c:v>
                </c:pt>
                <c:pt idx="1089">
                  <c:v>44680</c:v>
                </c:pt>
                <c:pt idx="1090">
                  <c:v>44683</c:v>
                </c:pt>
                <c:pt idx="1091">
                  <c:v>44684</c:v>
                </c:pt>
                <c:pt idx="1092">
                  <c:v>44685</c:v>
                </c:pt>
                <c:pt idx="1093">
                  <c:v>44686</c:v>
                </c:pt>
                <c:pt idx="1094">
                  <c:v>44687</c:v>
                </c:pt>
                <c:pt idx="1095">
                  <c:v>44690</c:v>
                </c:pt>
                <c:pt idx="1096">
                  <c:v>44691</c:v>
                </c:pt>
                <c:pt idx="1097">
                  <c:v>44692</c:v>
                </c:pt>
                <c:pt idx="1098">
                  <c:v>44693</c:v>
                </c:pt>
                <c:pt idx="1099">
                  <c:v>44694</c:v>
                </c:pt>
                <c:pt idx="1100">
                  <c:v>44697</c:v>
                </c:pt>
                <c:pt idx="1101">
                  <c:v>44698</c:v>
                </c:pt>
                <c:pt idx="1102">
                  <c:v>44699</c:v>
                </c:pt>
                <c:pt idx="1103">
                  <c:v>44700</c:v>
                </c:pt>
                <c:pt idx="1104">
                  <c:v>44701</c:v>
                </c:pt>
                <c:pt idx="1105">
                  <c:v>44704</c:v>
                </c:pt>
                <c:pt idx="1106">
                  <c:v>44705</c:v>
                </c:pt>
                <c:pt idx="1107">
                  <c:v>44706</c:v>
                </c:pt>
                <c:pt idx="1108">
                  <c:v>44707</c:v>
                </c:pt>
                <c:pt idx="1109">
                  <c:v>44708</c:v>
                </c:pt>
                <c:pt idx="1110">
                  <c:v>44712</c:v>
                </c:pt>
                <c:pt idx="1111">
                  <c:v>44713</c:v>
                </c:pt>
                <c:pt idx="1112">
                  <c:v>44714</c:v>
                </c:pt>
                <c:pt idx="1113">
                  <c:v>44715</c:v>
                </c:pt>
                <c:pt idx="1114">
                  <c:v>44718</c:v>
                </c:pt>
                <c:pt idx="1115">
                  <c:v>44719</c:v>
                </c:pt>
                <c:pt idx="1116">
                  <c:v>44720</c:v>
                </c:pt>
                <c:pt idx="1117">
                  <c:v>44721</c:v>
                </c:pt>
                <c:pt idx="1118">
                  <c:v>44722</c:v>
                </c:pt>
                <c:pt idx="1119">
                  <c:v>44725</c:v>
                </c:pt>
                <c:pt idx="1120">
                  <c:v>44726</c:v>
                </c:pt>
                <c:pt idx="1121">
                  <c:v>44727</c:v>
                </c:pt>
                <c:pt idx="1122">
                  <c:v>44728</c:v>
                </c:pt>
                <c:pt idx="1123">
                  <c:v>44729</c:v>
                </c:pt>
                <c:pt idx="1124">
                  <c:v>44733</c:v>
                </c:pt>
                <c:pt idx="1125">
                  <c:v>44734</c:v>
                </c:pt>
                <c:pt idx="1126">
                  <c:v>44735</c:v>
                </c:pt>
                <c:pt idx="1127">
                  <c:v>44736</c:v>
                </c:pt>
                <c:pt idx="1128">
                  <c:v>44739</c:v>
                </c:pt>
                <c:pt idx="1129">
                  <c:v>44740</c:v>
                </c:pt>
                <c:pt idx="1130">
                  <c:v>44741</c:v>
                </c:pt>
                <c:pt idx="1131">
                  <c:v>44742</c:v>
                </c:pt>
                <c:pt idx="1132">
                  <c:v>44743</c:v>
                </c:pt>
                <c:pt idx="1133">
                  <c:v>44747</c:v>
                </c:pt>
                <c:pt idx="1134">
                  <c:v>44748</c:v>
                </c:pt>
                <c:pt idx="1135">
                  <c:v>44749</c:v>
                </c:pt>
                <c:pt idx="1136">
                  <c:v>44750</c:v>
                </c:pt>
                <c:pt idx="1137">
                  <c:v>44753</c:v>
                </c:pt>
                <c:pt idx="1138">
                  <c:v>44754</c:v>
                </c:pt>
                <c:pt idx="1139">
                  <c:v>44755</c:v>
                </c:pt>
                <c:pt idx="1140">
                  <c:v>44756</c:v>
                </c:pt>
                <c:pt idx="1141">
                  <c:v>44757</c:v>
                </c:pt>
                <c:pt idx="1142">
                  <c:v>44760</c:v>
                </c:pt>
                <c:pt idx="1143">
                  <c:v>44761</c:v>
                </c:pt>
                <c:pt idx="1144">
                  <c:v>44762</c:v>
                </c:pt>
                <c:pt idx="1145">
                  <c:v>44763</c:v>
                </c:pt>
                <c:pt idx="1146">
                  <c:v>44764</c:v>
                </c:pt>
                <c:pt idx="1147">
                  <c:v>44767</c:v>
                </c:pt>
                <c:pt idx="1148">
                  <c:v>44768</c:v>
                </c:pt>
                <c:pt idx="1149">
                  <c:v>44769</c:v>
                </c:pt>
                <c:pt idx="1150">
                  <c:v>44770</c:v>
                </c:pt>
                <c:pt idx="1151">
                  <c:v>44771</c:v>
                </c:pt>
                <c:pt idx="1152">
                  <c:v>44774</c:v>
                </c:pt>
                <c:pt idx="1153">
                  <c:v>44775</c:v>
                </c:pt>
                <c:pt idx="1154">
                  <c:v>44776</c:v>
                </c:pt>
                <c:pt idx="1155">
                  <c:v>44777</c:v>
                </c:pt>
                <c:pt idx="1156">
                  <c:v>44778</c:v>
                </c:pt>
                <c:pt idx="1157">
                  <c:v>44781</c:v>
                </c:pt>
                <c:pt idx="1158">
                  <c:v>44782</c:v>
                </c:pt>
                <c:pt idx="1159">
                  <c:v>44783</c:v>
                </c:pt>
                <c:pt idx="1160">
                  <c:v>44784</c:v>
                </c:pt>
                <c:pt idx="1161">
                  <c:v>44785</c:v>
                </c:pt>
                <c:pt idx="1162">
                  <c:v>44788</c:v>
                </c:pt>
                <c:pt idx="1163">
                  <c:v>44789</c:v>
                </c:pt>
                <c:pt idx="1164">
                  <c:v>44790</c:v>
                </c:pt>
                <c:pt idx="1165">
                  <c:v>44791</c:v>
                </c:pt>
                <c:pt idx="1166">
                  <c:v>44792</c:v>
                </c:pt>
                <c:pt idx="1167">
                  <c:v>44795</c:v>
                </c:pt>
                <c:pt idx="1168">
                  <c:v>44796</c:v>
                </c:pt>
                <c:pt idx="1169">
                  <c:v>44797</c:v>
                </c:pt>
                <c:pt idx="1170">
                  <c:v>44798</c:v>
                </c:pt>
                <c:pt idx="1171">
                  <c:v>44799</c:v>
                </c:pt>
                <c:pt idx="1172">
                  <c:v>44802</c:v>
                </c:pt>
                <c:pt idx="1173">
                  <c:v>44803</c:v>
                </c:pt>
                <c:pt idx="1174">
                  <c:v>44804</c:v>
                </c:pt>
                <c:pt idx="1175">
                  <c:v>44805</c:v>
                </c:pt>
                <c:pt idx="1176">
                  <c:v>44806</c:v>
                </c:pt>
                <c:pt idx="1177">
                  <c:v>44810</c:v>
                </c:pt>
                <c:pt idx="1178">
                  <c:v>44811</c:v>
                </c:pt>
                <c:pt idx="1179">
                  <c:v>44812</c:v>
                </c:pt>
                <c:pt idx="1180">
                  <c:v>44813</c:v>
                </c:pt>
                <c:pt idx="1181">
                  <c:v>44816</c:v>
                </c:pt>
                <c:pt idx="1182">
                  <c:v>44817</c:v>
                </c:pt>
                <c:pt idx="1183">
                  <c:v>44818</c:v>
                </c:pt>
                <c:pt idx="1184">
                  <c:v>44819</c:v>
                </c:pt>
                <c:pt idx="1185">
                  <c:v>44820</c:v>
                </c:pt>
                <c:pt idx="1186">
                  <c:v>44823</c:v>
                </c:pt>
                <c:pt idx="1187">
                  <c:v>44824</c:v>
                </c:pt>
                <c:pt idx="1188">
                  <c:v>44825</c:v>
                </c:pt>
                <c:pt idx="1189">
                  <c:v>44826</c:v>
                </c:pt>
                <c:pt idx="1190">
                  <c:v>44827</c:v>
                </c:pt>
                <c:pt idx="1191">
                  <c:v>44830</c:v>
                </c:pt>
                <c:pt idx="1192">
                  <c:v>44831</c:v>
                </c:pt>
                <c:pt idx="1193">
                  <c:v>44832</c:v>
                </c:pt>
                <c:pt idx="1194">
                  <c:v>44833</c:v>
                </c:pt>
                <c:pt idx="1195">
                  <c:v>44834</c:v>
                </c:pt>
                <c:pt idx="1196">
                  <c:v>44837</c:v>
                </c:pt>
                <c:pt idx="1197">
                  <c:v>44838</c:v>
                </c:pt>
                <c:pt idx="1198">
                  <c:v>44839</c:v>
                </c:pt>
                <c:pt idx="1199">
                  <c:v>44840</c:v>
                </c:pt>
                <c:pt idx="1200">
                  <c:v>44841</c:v>
                </c:pt>
                <c:pt idx="1201">
                  <c:v>44844</c:v>
                </c:pt>
                <c:pt idx="1202">
                  <c:v>44845</c:v>
                </c:pt>
                <c:pt idx="1203">
                  <c:v>44846</c:v>
                </c:pt>
                <c:pt idx="1204">
                  <c:v>44847</c:v>
                </c:pt>
                <c:pt idx="1205">
                  <c:v>44848</c:v>
                </c:pt>
                <c:pt idx="1206">
                  <c:v>44851</c:v>
                </c:pt>
                <c:pt idx="1207">
                  <c:v>44852</c:v>
                </c:pt>
                <c:pt idx="1208">
                  <c:v>44853</c:v>
                </c:pt>
                <c:pt idx="1209">
                  <c:v>44854</c:v>
                </c:pt>
                <c:pt idx="1210">
                  <c:v>44855</c:v>
                </c:pt>
                <c:pt idx="1211">
                  <c:v>44858</c:v>
                </c:pt>
                <c:pt idx="1212">
                  <c:v>44859</c:v>
                </c:pt>
                <c:pt idx="1213">
                  <c:v>44860</c:v>
                </c:pt>
                <c:pt idx="1214">
                  <c:v>44861</c:v>
                </c:pt>
                <c:pt idx="1215">
                  <c:v>44862</c:v>
                </c:pt>
                <c:pt idx="1216">
                  <c:v>44865</c:v>
                </c:pt>
                <c:pt idx="1217">
                  <c:v>44866</c:v>
                </c:pt>
                <c:pt idx="1218">
                  <c:v>44867</c:v>
                </c:pt>
                <c:pt idx="1219">
                  <c:v>44868</c:v>
                </c:pt>
                <c:pt idx="1220">
                  <c:v>44869</c:v>
                </c:pt>
                <c:pt idx="1221">
                  <c:v>44872</c:v>
                </c:pt>
                <c:pt idx="1222">
                  <c:v>44873</c:v>
                </c:pt>
                <c:pt idx="1223">
                  <c:v>44874</c:v>
                </c:pt>
                <c:pt idx="1224">
                  <c:v>44875</c:v>
                </c:pt>
                <c:pt idx="1225">
                  <c:v>44876</c:v>
                </c:pt>
                <c:pt idx="1226">
                  <c:v>44879</c:v>
                </c:pt>
                <c:pt idx="1227">
                  <c:v>44880</c:v>
                </c:pt>
                <c:pt idx="1228">
                  <c:v>44881</c:v>
                </c:pt>
                <c:pt idx="1229">
                  <c:v>44882</c:v>
                </c:pt>
                <c:pt idx="1230">
                  <c:v>44883</c:v>
                </c:pt>
                <c:pt idx="1231">
                  <c:v>44886</c:v>
                </c:pt>
                <c:pt idx="1232">
                  <c:v>44887</c:v>
                </c:pt>
                <c:pt idx="1233">
                  <c:v>44888</c:v>
                </c:pt>
                <c:pt idx="1234">
                  <c:v>44890</c:v>
                </c:pt>
                <c:pt idx="1235">
                  <c:v>44893</c:v>
                </c:pt>
                <c:pt idx="1236">
                  <c:v>44894</c:v>
                </c:pt>
                <c:pt idx="1237">
                  <c:v>44895</c:v>
                </c:pt>
                <c:pt idx="1238">
                  <c:v>44896</c:v>
                </c:pt>
                <c:pt idx="1239">
                  <c:v>44897</c:v>
                </c:pt>
                <c:pt idx="1240">
                  <c:v>44900</c:v>
                </c:pt>
                <c:pt idx="1241">
                  <c:v>44901</c:v>
                </c:pt>
                <c:pt idx="1242">
                  <c:v>44902</c:v>
                </c:pt>
                <c:pt idx="1243">
                  <c:v>44903</c:v>
                </c:pt>
                <c:pt idx="1244">
                  <c:v>44904</c:v>
                </c:pt>
                <c:pt idx="1245">
                  <c:v>44907</c:v>
                </c:pt>
                <c:pt idx="1246">
                  <c:v>44908</c:v>
                </c:pt>
                <c:pt idx="1247">
                  <c:v>44909</c:v>
                </c:pt>
                <c:pt idx="1248">
                  <c:v>44910</c:v>
                </c:pt>
                <c:pt idx="1249">
                  <c:v>44911</c:v>
                </c:pt>
                <c:pt idx="1250">
                  <c:v>44914</c:v>
                </c:pt>
                <c:pt idx="1251">
                  <c:v>44915</c:v>
                </c:pt>
                <c:pt idx="1252">
                  <c:v>44916</c:v>
                </c:pt>
                <c:pt idx="1253">
                  <c:v>44917</c:v>
                </c:pt>
                <c:pt idx="1254">
                  <c:v>44918</c:v>
                </c:pt>
                <c:pt idx="1255">
                  <c:v>44922</c:v>
                </c:pt>
                <c:pt idx="1256">
                  <c:v>44923</c:v>
                </c:pt>
                <c:pt idx="1257">
                  <c:v>44924</c:v>
                </c:pt>
                <c:pt idx="1258">
                  <c:v>44925</c:v>
                </c:pt>
                <c:pt idx="1259">
                  <c:v>44929</c:v>
                </c:pt>
                <c:pt idx="1260">
                  <c:v>44930</c:v>
                </c:pt>
                <c:pt idx="1261">
                  <c:v>44931</c:v>
                </c:pt>
                <c:pt idx="1262">
                  <c:v>44932</c:v>
                </c:pt>
                <c:pt idx="1263">
                  <c:v>44935</c:v>
                </c:pt>
                <c:pt idx="1264">
                  <c:v>44936</c:v>
                </c:pt>
                <c:pt idx="1265">
                  <c:v>44937</c:v>
                </c:pt>
                <c:pt idx="1266">
                  <c:v>44938</c:v>
                </c:pt>
                <c:pt idx="1267">
                  <c:v>44939</c:v>
                </c:pt>
                <c:pt idx="1268">
                  <c:v>44943</c:v>
                </c:pt>
                <c:pt idx="1269">
                  <c:v>44944</c:v>
                </c:pt>
                <c:pt idx="1270">
                  <c:v>44945</c:v>
                </c:pt>
                <c:pt idx="1271">
                  <c:v>44946</c:v>
                </c:pt>
                <c:pt idx="1272">
                  <c:v>44949</c:v>
                </c:pt>
                <c:pt idx="1273">
                  <c:v>44950</c:v>
                </c:pt>
                <c:pt idx="1274">
                  <c:v>44951</c:v>
                </c:pt>
                <c:pt idx="1275">
                  <c:v>44952</c:v>
                </c:pt>
                <c:pt idx="1276">
                  <c:v>44953</c:v>
                </c:pt>
                <c:pt idx="1277">
                  <c:v>44956</c:v>
                </c:pt>
                <c:pt idx="1278">
                  <c:v>44957</c:v>
                </c:pt>
                <c:pt idx="1279">
                  <c:v>44958</c:v>
                </c:pt>
                <c:pt idx="1280">
                  <c:v>44959</c:v>
                </c:pt>
                <c:pt idx="1281">
                  <c:v>44960</c:v>
                </c:pt>
                <c:pt idx="1282">
                  <c:v>44963</c:v>
                </c:pt>
                <c:pt idx="1283">
                  <c:v>44964</c:v>
                </c:pt>
                <c:pt idx="1284">
                  <c:v>44965</c:v>
                </c:pt>
                <c:pt idx="1285">
                  <c:v>44966</c:v>
                </c:pt>
                <c:pt idx="1286">
                  <c:v>44967</c:v>
                </c:pt>
                <c:pt idx="1287">
                  <c:v>44970</c:v>
                </c:pt>
                <c:pt idx="1288">
                  <c:v>44971</c:v>
                </c:pt>
                <c:pt idx="1289">
                  <c:v>44972</c:v>
                </c:pt>
                <c:pt idx="1290">
                  <c:v>44973</c:v>
                </c:pt>
                <c:pt idx="1291">
                  <c:v>44974</c:v>
                </c:pt>
                <c:pt idx="1292">
                  <c:v>44978</c:v>
                </c:pt>
                <c:pt idx="1293">
                  <c:v>44979</c:v>
                </c:pt>
                <c:pt idx="1294">
                  <c:v>44980</c:v>
                </c:pt>
                <c:pt idx="1295">
                  <c:v>44981</c:v>
                </c:pt>
                <c:pt idx="1296">
                  <c:v>44984</c:v>
                </c:pt>
                <c:pt idx="1297">
                  <c:v>44985</c:v>
                </c:pt>
                <c:pt idx="1298">
                  <c:v>44986</c:v>
                </c:pt>
                <c:pt idx="1299">
                  <c:v>44987</c:v>
                </c:pt>
                <c:pt idx="1300">
                  <c:v>44988</c:v>
                </c:pt>
                <c:pt idx="1301">
                  <c:v>44991</c:v>
                </c:pt>
                <c:pt idx="1302">
                  <c:v>44992</c:v>
                </c:pt>
                <c:pt idx="1303">
                  <c:v>44993</c:v>
                </c:pt>
                <c:pt idx="1304">
                  <c:v>44994</c:v>
                </c:pt>
                <c:pt idx="1305">
                  <c:v>44995</c:v>
                </c:pt>
                <c:pt idx="1306">
                  <c:v>44998</c:v>
                </c:pt>
                <c:pt idx="1307">
                  <c:v>44999</c:v>
                </c:pt>
                <c:pt idx="1308">
                  <c:v>45000</c:v>
                </c:pt>
                <c:pt idx="1309">
                  <c:v>45001</c:v>
                </c:pt>
                <c:pt idx="1310">
                  <c:v>45002</c:v>
                </c:pt>
                <c:pt idx="1311">
                  <c:v>45005</c:v>
                </c:pt>
                <c:pt idx="1312">
                  <c:v>45006</c:v>
                </c:pt>
                <c:pt idx="1313">
                  <c:v>45007</c:v>
                </c:pt>
                <c:pt idx="1314">
                  <c:v>45008</c:v>
                </c:pt>
                <c:pt idx="1315">
                  <c:v>45009</c:v>
                </c:pt>
                <c:pt idx="1316">
                  <c:v>45012</c:v>
                </c:pt>
                <c:pt idx="1317">
                  <c:v>45013</c:v>
                </c:pt>
                <c:pt idx="1318">
                  <c:v>45014</c:v>
                </c:pt>
                <c:pt idx="1319">
                  <c:v>45015</c:v>
                </c:pt>
                <c:pt idx="1320">
                  <c:v>45016</c:v>
                </c:pt>
                <c:pt idx="1321">
                  <c:v>45019</c:v>
                </c:pt>
                <c:pt idx="1322">
                  <c:v>45020</c:v>
                </c:pt>
                <c:pt idx="1323">
                  <c:v>45021</c:v>
                </c:pt>
                <c:pt idx="1324">
                  <c:v>45022</c:v>
                </c:pt>
                <c:pt idx="1325">
                  <c:v>45026</c:v>
                </c:pt>
                <c:pt idx="1326">
                  <c:v>45027</c:v>
                </c:pt>
                <c:pt idx="1327">
                  <c:v>45028</c:v>
                </c:pt>
                <c:pt idx="1328">
                  <c:v>45029</c:v>
                </c:pt>
                <c:pt idx="1329">
                  <c:v>45030</c:v>
                </c:pt>
                <c:pt idx="1330">
                  <c:v>45033</c:v>
                </c:pt>
                <c:pt idx="1331">
                  <c:v>45034</c:v>
                </c:pt>
                <c:pt idx="1332">
                  <c:v>45035</c:v>
                </c:pt>
                <c:pt idx="1333">
                  <c:v>45036</c:v>
                </c:pt>
                <c:pt idx="1334">
                  <c:v>45037</c:v>
                </c:pt>
                <c:pt idx="1335">
                  <c:v>45040</c:v>
                </c:pt>
                <c:pt idx="1336">
                  <c:v>45041</c:v>
                </c:pt>
                <c:pt idx="1337">
                  <c:v>45042</c:v>
                </c:pt>
                <c:pt idx="1338">
                  <c:v>45043</c:v>
                </c:pt>
                <c:pt idx="1339">
                  <c:v>45044</c:v>
                </c:pt>
                <c:pt idx="1340">
                  <c:v>45047</c:v>
                </c:pt>
                <c:pt idx="1341">
                  <c:v>45048</c:v>
                </c:pt>
                <c:pt idx="1342">
                  <c:v>45049</c:v>
                </c:pt>
                <c:pt idx="1343">
                  <c:v>45050</c:v>
                </c:pt>
                <c:pt idx="1344">
                  <c:v>45051</c:v>
                </c:pt>
                <c:pt idx="1345">
                  <c:v>45054</c:v>
                </c:pt>
                <c:pt idx="1346">
                  <c:v>45055</c:v>
                </c:pt>
                <c:pt idx="1347">
                  <c:v>45056</c:v>
                </c:pt>
                <c:pt idx="1348">
                  <c:v>45057</c:v>
                </c:pt>
                <c:pt idx="1349">
                  <c:v>45058</c:v>
                </c:pt>
                <c:pt idx="1350">
                  <c:v>45061</c:v>
                </c:pt>
                <c:pt idx="1351">
                  <c:v>45062</c:v>
                </c:pt>
                <c:pt idx="1352">
                  <c:v>45063</c:v>
                </c:pt>
                <c:pt idx="1353">
                  <c:v>45064</c:v>
                </c:pt>
                <c:pt idx="1354">
                  <c:v>45065</c:v>
                </c:pt>
                <c:pt idx="1355">
                  <c:v>45068</c:v>
                </c:pt>
                <c:pt idx="1356">
                  <c:v>45069</c:v>
                </c:pt>
                <c:pt idx="1357">
                  <c:v>45070</c:v>
                </c:pt>
                <c:pt idx="1358">
                  <c:v>45071</c:v>
                </c:pt>
                <c:pt idx="1359">
                  <c:v>45072</c:v>
                </c:pt>
                <c:pt idx="1360">
                  <c:v>45076</c:v>
                </c:pt>
                <c:pt idx="1361">
                  <c:v>45077</c:v>
                </c:pt>
                <c:pt idx="1362">
                  <c:v>45078</c:v>
                </c:pt>
                <c:pt idx="1363">
                  <c:v>45079</c:v>
                </c:pt>
                <c:pt idx="1364">
                  <c:v>45082</c:v>
                </c:pt>
                <c:pt idx="1365">
                  <c:v>45083</c:v>
                </c:pt>
                <c:pt idx="1366">
                  <c:v>45084</c:v>
                </c:pt>
                <c:pt idx="1367">
                  <c:v>45085</c:v>
                </c:pt>
                <c:pt idx="1368">
                  <c:v>45086</c:v>
                </c:pt>
                <c:pt idx="1369">
                  <c:v>45089</c:v>
                </c:pt>
                <c:pt idx="1370">
                  <c:v>45090</c:v>
                </c:pt>
                <c:pt idx="1371">
                  <c:v>45091</c:v>
                </c:pt>
                <c:pt idx="1372">
                  <c:v>45092</c:v>
                </c:pt>
                <c:pt idx="1373">
                  <c:v>45093</c:v>
                </c:pt>
                <c:pt idx="1374">
                  <c:v>45097</c:v>
                </c:pt>
                <c:pt idx="1375">
                  <c:v>45098</c:v>
                </c:pt>
                <c:pt idx="1376">
                  <c:v>45099</c:v>
                </c:pt>
                <c:pt idx="1377">
                  <c:v>45100</c:v>
                </c:pt>
                <c:pt idx="1378">
                  <c:v>45103</c:v>
                </c:pt>
                <c:pt idx="1379">
                  <c:v>45104</c:v>
                </c:pt>
                <c:pt idx="1380">
                  <c:v>45105</c:v>
                </c:pt>
                <c:pt idx="1381">
                  <c:v>45106</c:v>
                </c:pt>
                <c:pt idx="1382">
                  <c:v>45107</c:v>
                </c:pt>
                <c:pt idx="1383">
                  <c:v>45110</c:v>
                </c:pt>
                <c:pt idx="1384">
                  <c:v>45112</c:v>
                </c:pt>
                <c:pt idx="1385">
                  <c:v>45113</c:v>
                </c:pt>
                <c:pt idx="1386">
                  <c:v>45114</c:v>
                </c:pt>
                <c:pt idx="1387">
                  <c:v>45117</c:v>
                </c:pt>
                <c:pt idx="1388">
                  <c:v>45118</c:v>
                </c:pt>
                <c:pt idx="1389">
                  <c:v>45119</c:v>
                </c:pt>
                <c:pt idx="1390">
                  <c:v>45120</c:v>
                </c:pt>
                <c:pt idx="1391">
                  <c:v>45121</c:v>
                </c:pt>
                <c:pt idx="1392">
                  <c:v>45124</c:v>
                </c:pt>
                <c:pt idx="1393">
                  <c:v>45125</c:v>
                </c:pt>
                <c:pt idx="1394">
                  <c:v>45126</c:v>
                </c:pt>
                <c:pt idx="1395">
                  <c:v>45127</c:v>
                </c:pt>
                <c:pt idx="1396">
                  <c:v>45128</c:v>
                </c:pt>
                <c:pt idx="1397">
                  <c:v>45131</c:v>
                </c:pt>
                <c:pt idx="1398">
                  <c:v>45132</c:v>
                </c:pt>
                <c:pt idx="1399">
                  <c:v>45133</c:v>
                </c:pt>
                <c:pt idx="1400">
                  <c:v>45134</c:v>
                </c:pt>
                <c:pt idx="1401">
                  <c:v>45135</c:v>
                </c:pt>
                <c:pt idx="1402">
                  <c:v>45138</c:v>
                </c:pt>
                <c:pt idx="1403">
                  <c:v>45139</c:v>
                </c:pt>
                <c:pt idx="1404">
                  <c:v>45140</c:v>
                </c:pt>
                <c:pt idx="1405">
                  <c:v>45141</c:v>
                </c:pt>
                <c:pt idx="1406">
                  <c:v>45142</c:v>
                </c:pt>
                <c:pt idx="1407">
                  <c:v>45145</c:v>
                </c:pt>
                <c:pt idx="1408">
                  <c:v>45146</c:v>
                </c:pt>
                <c:pt idx="1409">
                  <c:v>45147</c:v>
                </c:pt>
                <c:pt idx="1410">
                  <c:v>45148</c:v>
                </c:pt>
                <c:pt idx="1411">
                  <c:v>45149</c:v>
                </c:pt>
                <c:pt idx="1412">
                  <c:v>45152</c:v>
                </c:pt>
                <c:pt idx="1413">
                  <c:v>45153</c:v>
                </c:pt>
                <c:pt idx="1414">
                  <c:v>45154</c:v>
                </c:pt>
                <c:pt idx="1415">
                  <c:v>45155</c:v>
                </c:pt>
                <c:pt idx="1416">
                  <c:v>45156</c:v>
                </c:pt>
                <c:pt idx="1417">
                  <c:v>45159</c:v>
                </c:pt>
                <c:pt idx="1418">
                  <c:v>45160</c:v>
                </c:pt>
                <c:pt idx="1419">
                  <c:v>45161</c:v>
                </c:pt>
                <c:pt idx="1420">
                  <c:v>45162</c:v>
                </c:pt>
                <c:pt idx="1421">
                  <c:v>45163</c:v>
                </c:pt>
                <c:pt idx="1422">
                  <c:v>45166</c:v>
                </c:pt>
                <c:pt idx="1423">
                  <c:v>45167</c:v>
                </c:pt>
                <c:pt idx="1424">
                  <c:v>45168</c:v>
                </c:pt>
                <c:pt idx="1425">
                  <c:v>45169</c:v>
                </c:pt>
              </c:numCache>
            </c:numRef>
          </c:cat>
          <c:val>
            <c:numRef>
              <c:f>Beta!$D$1555:$D$2980</c:f>
              <c:numCache>
                <c:formatCode>#,##0.00</c:formatCode>
                <c:ptCount val="1426"/>
                <c:pt idx="0">
                  <c:v>33.360000999999997</c:v>
                </c:pt>
                <c:pt idx="1">
                  <c:v>33.630001</c:v>
                </c:pt>
                <c:pt idx="2">
                  <c:v>33.75</c:v>
                </c:pt>
                <c:pt idx="3">
                  <c:v>33.950001</c:v>
                </c:pt>
                <c:pt idx="4">
                  <c:v>34.020000000000003</c:v>
                </c:pt>
                <c:pt idx="5">
                  <c:v>34.049999</c:v>
                </c:pt>
                <c:pt idx="6">
                  <c:v>34</c:v>
                </c:pt>
                <c:pt idx="7">
                  <c:v>34.290000999999997</c:v>
                </c:pt>
                <c:pt idx="8">
                  <c:v>34.509998000000003</c:v>
                </c:pt>
                <c:pt idx="9">
                  <c:v>34.330002</c:v>
                </c:pt>
                <c:pt idx="10">
                  <c:v>34.650002000000001</c:v>
                </c:pt>
                <c:pt idx="11">
                  <c:v>34.599997999999999</c:v>
                </c:pt>
                <c:pt idx="12">
                  <c:v>34.75</c:v>
                </c:pt>
                <c:pt idx="13">
                  <c:v>35.049999</c:v>
                </c:pt>
                <c:pt idx="14">
                  <c:v>35.139999000000003</c:v>
                </c:pt>
                <c:pt idx="15">
                  <c:v>35.110000999999997</c:v>
                </c:pt>
                <c:pt idx="16">
                  <c:v>35.099997999999999</c:v>
                </c:pt>
                <c:pt idx="17">
                  <c:v>35.450001</c:v>
                </c:pt>
                <c:pt idx="18">
                  <c:v>35.25</c:v>
                </c:pt>
                <c:pt idx="19">
                  <c:v>34.880001</c:v>
                </c:pt>
                <c:pt idx="20">
                  <c:v>34.909999999999997</c:v>
                </c:pt>
                <c:pt idx="21">
                  <c:v>34.860000999999997</c:v>
                </c:pt>
                <c:pt idx="22">
                  <c:v>34.119999</c:v>
                </c:pt>
                <c:pt idx="23">
                  <c:v>33.040000999999997</c:v>
                </c:pt>
                <c:pt idx="24">
                  <c:v>33.340000000000003</c:v>
                </c:pt>
                <c:pt idx="25">
                  <c:v>33.150002000000001</c:v>
                </c:pt>
                <c:pt idx="26">
                  <c:v>31.98</c:v>
                </c:pt>
                <c:pt idx="27">
                  <c:v>32.380001</c:v>
                </c:pt>
                <c:pt idx="28">
                  <c:v>32.860000999999997</c:v>
                </c:pt>
                <c:pt idx="29">
                  <c:v>32.939999</c:v>
                </c:pt>
                <c:pt idx="30">
                  <c:v>33.400002000000001</c:v>
                </c:pt>
                <c:pt idx="31">
                  <c:v>33.82</c:v>
                </c:pt>
                <c:pt idx="32">
                  <c:v>33.849997999999999</c:v>
                </c:pt>
                <c:pt idx="33">
                  <c:v>33.650002000000001</c:v>
                </c:pt>
                <c:pt idx="34">
                  <c:v>33.470001000000003</c:v>
                </c:pt>
                <c:pt idx="35">
                  <c:v>33.479999999999997</c:v>
                </c:pt>
                <c:pt idx="36">
                  <c:v>34.020000000000003</c:v>
                </c:pt>
                <c:pt idx="37">
                  <c:v>34.360000999999997</c:v>
                </c:pt>
                <c:pt idx="38">
                  <c:v>33.970001000000003</c:v>
                </c:pt>
                <c:pt idx="39">
                  <c:v>33.560001</c:v>
                </c:pt>
                <c:pt idx="40">
                  <c:v>33.18</c:v>
                </c:pt>
                <c:pt idx="41">
                  <c:v>33.409999999999997</c:v>
                </c:pt>
                <c:pt idx="42">
                  <c:v>33.759998000000003</c:v>
                </c:pt>
                <c:pt idx="43">
                  <c:v>33.889999000000003</c:v>
                </c:pt>
                <c:pt idx="44">
                  <c:v>33.909999999999997</c:v>
                </c:pt>
                <c:pt idx="45">
                  <c:v>34.020000000000003</c:v>
                </c:pt>
                <c:pt idx="46">
                  <c:v>34.599997999999999</c:v>
                </c:pt>
                <c:pt idx="47">
                  <c:v>34.590000000000003</c:v>
                </c:pt>
                <c:pt idx="48">
                  <c:v>34.380001</c:v>
                </c:pt>
                <c:pt idx="49">
                  <c:v>34.18</c:v>
                </c:pt>
                <c:pt idx="50">
                  <c:v>34.110000999999997</c:v>
                </c:pt>
                <c:pt idx="51">
                  <c:v>34.090000000000003</c:v>
                </c:pt>
                <c:pt idx="52">
                  <c:v>33.630001</c:v>
                </c:pt>
                <c:pt idx="53">
                  <c:v>33.650002000000001</c:v>
                </c:pt>
                <c:pt idx="54">
                  <c:v>33.669998</c:v>
                </c:pt>
                <c:pt idx="55">
                  <c:v>32.849997999999999</c:v>
                </c:pt>
                <c:pt idx="56">
                  <c:v>32.18</c:v>
                </c:pt>
                <c:pt idx="57">
                  <c:v>32.970001000000003</c:v>
                </c:pt>
                <c:pt idx="58">
                  <c:v>32.459999000000003</c:v>
                </c:pt>
                <c:pt idx="59">
                  <c:v>32.360000999999997</c:v>
                </c:pt>
                <c:pt idx="60">
                  <c:v>32.82</c:v>
                </c:pt>
                <c:pt idx="61">
                  <c:v>32.090000000000003</c:v>
                </c:pt>
                <c:pt idx="62">
                  <c:v>32.479999999999997</c:v>
                </c:pt>
                <c:pt idx="63">
                  <c:v>32.840000000000003</c:v>
                </c:pt>
                <c:pt idx="64">
                  <c:v>33.090000000000003</c:v>
                </c:pt>
                <c:pt idx="65">
                  <c:v>32.389999000000003</c:v>
                </c:pt>
                <c:pt idx="66">
                  <c:v>32.529998999999997</c:v>
                </c:pt>
                <c:pt idx="67">
                  <c:v>33.040000999999997</c:v>
                </c:pt>
                <c:pt idx="68">
                  <c:v>32.869999</c:v>
                </c:pt>
                <c:pt idx="69">
                  <c:v>33.159999999999997</c:v>
                </c:pt>
                <c:pt idx="70">
                  <c:v>33.029998999999997</c:v>
                </c:pt>
                <c:pt idx="71">
                  <c:v>33.32</c:v>
                </c:pt>
                <c:pt idx="72">
                  <c:v>33.659999999999997</c:v>
                </c:pt>
                <c:pt idx="73">
                  <c:v>33.709999000000003</c:v>
                </c:pt>
                <c:pt idx="74">
                  <c:v>33.509998000000003</c:v>
                </c:pt>
                <c:pt idx="75">
                  <c:v>33.229999999999997</c:v>
                </c:pt>
                <c:pt idx="76">
                  <c:v>33.229999999999997</c:v>
                </c:pt>
                <c:pt idx="77">
                  <c:v>32.849997999999999</c:v>
                </c:pt>
                <c:pt idx="78">
                  <c:v>32.869999</c:v>
                </c:pt>
                <c:pt idx="79">
                  <c:v>33.229999999999997</c:v>
                </c:pt>
                <c:pt idx="80">
                  <c:v>33.220001000000003</c:v>
                </c:pt>
                <c:pt idx="81">
                  <c:v>33</c:v>
                </c:pt>
                <c:pt idx="82">
                  <c:v>33.049999</c:v>
                </c:pt>
                <c:pt idx="83">
                  <c:v>32.849997999999999</c:v>
                </c:pt>
                <c:pt idx="84">
                  <c:v>32.799999</c:v>
                </c:pt>
                <c:pt idx="85">
                  <c:v>33.18</c:v>
                </c:pt>
                <c:pt idx="86">
                  <c:v>33.32</c:v>
                </c:pt>
                <c:pt idx="87">
                  <c:v>33.349997999999999</c:v>
                </c:pt>
                <c:pt idx="88">
                  <c:v>33.650002000000001</c:v>
                </c:pt>
                <c:pt idx="89">
                  <c:v>33.959999000000003</c:v>
                </c:pt>
                <c:pt idx="90">
                  <c:v>34.009998000000003</c:v>
                </c:pt>
                <c:pt idx="91">
                  <c:v>34.040000999999997</c:v>
                </c:pt>
                <c:pt idx="92">
                  <c:v>33.82</c:v>
                </c:pt>
                <c:pt idx="93">
                  <c:v>33.979999999999997</c:v>
                </c:pt>
                <c:pt idx="94">
                  <c:v>34</c:v>
                </c:pt>
                <c:pt idx="95">
                  <c:v>33.939999</c:v>
                </c:pt>
                <c:pt idx="96">
                  <c:v>34.150002000000001</c:v>
                </c:pt>
                <c:pt idx="97">
                  <c:v>34.07</c:v>
                </c:pt>
                <c:pt idx="98">
                  <c:v>34.169998</c:v>
                </c:pt>
                <c:pt idx="99">
                  <c:v>34.119999</c:v>
                </c:pt>
                <c:pt idx="100">
                  <c:v>34.049999</c:v>
                </c:pt>
                <c:pt idx="101">
                  <c:v>33.720001000000003</c:v>
                </c:pt>
                <c:pt idx="102">
                  <c:v>34.169998</c:v>
                </c:pt>
                <c:pt idx="103">
                  <c:v>33.919998</c:v>
                </c:pt>
                <c:pt idx="104">
                  <c:v>34.270000000000003</c:v>
                </c:pt>
                <c:pt idx="105">
                  <c:v>34.439999</c:v>
                </c:pt>
                <c:pt idx="106">
                  <c:v>34.490001999999997</c:v>
                </c:pt>
                <c:pt idx="107">
                  <c:v>34.709999000000003</c:v>
                </c:pt>
                <c:pt idx="108">
                  <c:v>34.740001999999997</c:v>
                </c:pt>
                <c:pt idx="109">
                  <c:v>34.82</c:v>
                </c:pt>
                <c:pt idx="110">
                  <c:v>34.880001</c:v>
                </c:pt>
                <c:pt idx="111">
                  <c:v>34.950001</c:v>
                </c:pt>
                <c:pt idx="112">
                  <c:v>34.810001</c:v>
                </c:pt>
                <c:pt idx="113">
                  <c:v>34.880001</c:v>
                </c:pt>
                <c:pt idx="114">
                  <c:v>34.729999999999997</c:v>
                </c:pt>
                <c:pt idx="115">
                  <c:v>34.700001</c:v>
                </c:pt>
                <c:pt idx="116">
                  <c:v>34.560001</c:v>
                </c:pt>
                <c:pt idx="117">
                  <c:v>34.669998</c:v>
                </c:pt>
                <c:pt idx="118">
                  <c:v>34.439999</c:v>
                </c:pt>
                <c:pt idx="119">
                  <c:v>34.479999999999997</c:v>
                </c:pt>
                <c:pt idx="120">
                  <c:v>33.979999999999997</c:v>
                </c:pt>
                <c:pt idx="121">
                  <c:v>34.080002</c:v>
                </c:pt>
                <c:pt idx="122">
                  <c:v>33.770000000000003</c:v>
                </c:pt>
                <c:pt idx="123">
                  <c:v>33.939999</c:v>
                </c:pt>
                <c:pt idx="124">
                  <c:v>33.990001999999997</c:v>
                </c:pt>
                <c:pt idx="125">
                  <c:v>34.090000000000003</c:v>
                </c:pt>
                <c:pt idx="126">
                  <c:v>33.970001000000003</c:v>
                </c:pt>
                <c:pt idx="127">
                  <c:v>34.279998999999997</c:v>
                </c:pt>
                <c:pt idx="128">
                  <c:v>34.560001</c:v>
                </c:pt>
                <c:pt idx="129">
                  <c:v>34.869999</c:v>
                </c:pt>
                <c:pt idx="130">
                  <c:v>34.959999000000003</c:v>
                </c:pt>
                <c:pt idx="131">
                  <c:v>34.709999000000003</c:v>
                </c:pt>
                <c:pt idx="132">
                  <c:v>34.990001999999997</c:v>
                </c:pt>
                <c:pt idx="133">
                  <c:v>35</c:v>
                </c:pt>
                <c:pt idx="134">
                  <c:v>34.959999000000003</c:v>
                </c:pt>
                <c:pt idx="135">
                  <c:v>35.099997999999999</c:v>
                </c:pt>
                <c:pt idx="136">
                  <c:v>35.159999999999997</c:v>
                </c:pt>
                <c:pt idx="137">
                  <c:v>35.080002</c:v>
                </c:pt>
                <c:pt idx="138">
                  <c:v>35.040000999999997</c:v>
                </c:pt>
                <c:pt idx="139">
                  <c:v>35.090000000000003</c:v>
                </c:pt>
                <c:pt idx="140">
                  <c:v>35.169998</c:v>
                </c:pt>
                <c:pt idx="141">
                  <c:v>35.459999000000003</c:v>
                </c:pt>
                <c:pt idx="142">
                  <c:v>35.369999</c:v>
                </c:pt>
                <c:pt idx="143">
                  <c:v>35.099997999999999</c:v>
                </c:pt>
                <c:pt idx="144">
                  <c:v>34.889999000000003</c:v>
                </c:pt>
                <c:pt idx="145">
                  <c:v>35.090000000000003</c:v>
                </c:pt>
                <c:pt idx="146">
                  <c:v>35.060001</c:v>
                </c:pt>
                <c:pt idx="147">
                  <c:v>35.290000999999997</c:v>
                </c:pt>
                <c:pt idx="148">
                  <c:v>35.400002000000001</c:v>
                </c:pt>
                <c:pt idx="149">
                  <c:v>35.529998999999997</c:v>
                </c:pt>
                <c:pt idx="150">
                  <c:v>35.650002000000001</c:v>
                </c:pt>
                <c:pt idx="151">
                  <c:v>35.630001</c:v>
                </c:pt>
                <c:pt idx="152">
                  <c:v>35.590000000000003</c:v>
                </c:pt>
                <c:pt idx="153">
                  <c:v>35.369999</c:v>
                </c:pt>
                <c:pt idx="154">
                  <c:v>35.209999000000003</c:v>
                </c:pt>
                <c:pt idx="155">
                  <c:v>35.450001</c:v>
                </c:pt>
                <c:pt idx="156">
                  <c:v>35.18</c:v>
                </c:pt>
                <c:pt idx="157">
                  <c:v>35.470001000000003</c:v>
                </c:pt>
                <c:pt idx="158">
                  <c:v>35.619999</c:v>
                </c:pt>
                <c:pt idx="159">
                  <c:v>35.68</c:v>
                </c:pt>
                <c:pt idx="160">
                  <c:v>35.799999</c:v>
                </c:pt>
                <c:pt idx="161">
                  <c:v>35.82</c:v>
                </c:pt>
                <c:pt idx="162">
                  <c:v>35.75</c:v>
                </c:pt>
                <c:pt idx="163">
                  <c:v>35.970001000000003</c:v>
                </c:pt>
                <c:pt idx="164">
                  <c:v>36.220001000000003</c:v>
                </c:pt>
                <c:pt idx="165">
                  <c:v>36.240001999999997</c:v>
                </c:pt>
                <c:pt idx="166">
                  <c:v>36.439999</c:v>
                </c:pt>
                <c:pt idx="167">
                  <c:v>36.279998999999997</c:v>
                </c:pt>
                <c:pt idx="168">
                  <c:v>36.310001</c:v>
                </c:pt>
                <c:pt idx="169">
                  <c:v>36.270000000000003</c:v>
                </c:pt>
                <c:pt idx="170">
                  <c:v>36.150002000000001</c:v>
                </c:pt>
                <c:pt idx="171">
                  <c:v>36.009998000000003</c:v>
                </c:pt>
                <c:pt idx="172">
                  <c:v>35.950001</c:v>
                </c:pt>
                <c:pt idx="173">
                  <c:v>36.029998999999997</c:v>
                </c:pt>
                <c:pt idx="174">
                  <c:v>36.130001</c:v>
                </c:pt>
                <c:pt idx="175">
                  <c:v>36.150002000000001</c:v>
                </c:pt>
                <c:pt idx="176">
                  <c:v>36.299999</c:v>
                </c:pt>
                <c:pt idx="177">
                  <c:v>36.360000999999997</c:v>
                </c:pt>
                <c:pt idx="178">
                  <c:v>36.119999</c:v>
                </c:pt>
                <c:pt idx="179">
                  <c:v>36.299999</c:v>
                </c:pt>
                <c:pt idx="180">
                  <c:v>36.310001</c:v>
                </c:pt>
                <c:pt idx="181">
                  <c:v>36.580002</c:v>
                </c:pt>
                <c:pt idx="182">
                  <c:v>36.369999</c:v>
                </c:pt>
                <c:pt idx="183">
                  <c:v>36.259998000000003</c:v>
                </c:pt>
                <c:pt idx="184">
                  <c:v>36.220001000000003</c:v>
                </c:pt>
                <c:pt idx="185">
                  <c:v>36.099997999999999</c:v>
                </c:pt>
                <c:pt idx="186">
                  <c:v>36.18</c:v>
                </c:pt>
                <c:pt idx="187">
                  <c:v>36.200001</c:v>
                </c:pt>
                <c:pt idx="188">
                  <c:v>36.259998000000003</c:v>
                </c:pt>
                <c:pt idx="189">
                  <c:v>36.209999000000003</c:v>
                </c:pt>
                <c:pt idx="190">
                  <c:v>36.259998000000003</c:v>
                </c:pt>
                <c:pt idx="191">
                  <c:v>35.939999</c:v>
                </c:pt>
                <c:pt idx="192">
                  <c:v>35.740001999999997</c:v>
                </c:pt>
                <c:pt idx="193">
                  <c:v>35.709999000000003</c:v>
                </c:pt>
                <c:pt idx="194">
                  <c:v>35.650002000000001</c:v>
                </c:pt>
                <c:pt idx="195">
                  <c:v>34.520000000000003</c:v>
                </c:pt>
                <c:pt idx="196">
                  <c:v>33.830002</c:v>
                </c:pt>
                <c:pt idx="197">
                  <c:v>34.229999999999997</c:v>
                </c:pt>
                <c:pt idx="198">
                  <c:v>34.07</c:v>
                </c:pt>
                <c:pt idx="199">
                  <c:v>34.799999</c:v>
                </c:pt>
                <c:pt idx="200">
                  <c:v>34.810001</c:v>
                </c:pt>
                <c:pt idx="201">
                  <c:v>34.290000999999997</c:v>
                </c:pt>
                <c:pt idx="202">
                  <c:v>34.220001000000003</c:v>
                </c:pt>
                <c:pt idx="203">
                  <c:v>34.090000000000003</c:v>
                </c:pt>
                <c:pt idx="204">
                  <c:v>33.889999000000003</c:v>
                </c:pt>
                <c:pt idx="205">
                  <c:v>32.840000000000003</c:v>
                </c:pt>
                <c:pt idx="206">
                  <c:v>33.419998</c:v>
                </c:pt>
                <c:pt idx="207">
                  <c:v>32.849997999999999</c:v>
                </c:pt>
                <c:pt idx="208">
                  <c:v>32.720001000000003</c:v>
                </c:pt>
                <c:pt idx="209">
                  <c:v>33.200001</c:v>
                </c:pt>
                <c:pt idx="210">
                  <c:v>33.549999</c:v>
                </c:pt>
                <c:pt idx="211">
                  <c:v>33.979999999999997</c:v>
                </c:pt>
                <c:pt idx="212">
                  <c:v>33.810001</c:v>
                </c:pt>
                <c:pt idx="213">
                  <c:v>33.919998</c:v>
                </c:pt>
                <c:pt idx="214">
                  <c:v>34.139999000000003</c:v>
                </c:pt>
                <c:pt idx="215">
                  <c:v>34.830002</c:v>
                </c:pt>
                <c:pt idx="216">
                  <c:v>34.779998999999997</c:v>
                </c:pt>
                <c:pt idx="217">
                  <c:v>34.419998</c:v>
                </c:pt>
                <c:pt idx="218">
                  <c:v>33.75</c:v>
                </c:pt>
                <c:pt idx="219">
                  <c:v>33.689999</c:v>
                </c:pt>
                <c:pt idx="220">
                  <c:v>33.419998</c:v>
                </c:pt>
                <c:pt idx="221">
                  <c:v>33.830002</c:v>
                </c:pt>
                <c:pt idx="222">
                  <c:v>33.900002000000001</c:v>
                </c:pt>
                <c:pt idx="223">
                  <c:v>33.290000999999997</c:v>
                </c:pt>
                <c:pt idx="224">
                  <c:v>32.669998</c:v>
                </c:pt>
                <c:pt idx="225">
                  <c:v>32.82</c:v>
                </c:pt>
                <c:pt idx="226">
                  <c:v>32.659999999999997</c:v>
                </c:pt>
                <c:pt idx="227">
                  <c:v>33.169998</c:v>
                </c:pt>
                <c:pt idx="228">
                  <c:v>33.18</c:v>
                </c:pt>
                <c:pt idx="229">
                  <c:v>34.009998000000003</c:v>
                </c:pt>
                <c:pt idx="230">
                  <c:v>33.919998</c:v>
                </c:pt>
                <c:pt idx="231">
                  <c:v>34.040000999999997</c:v>
                </c:pt>
                <c:pt idx="232">
                  <c:v>34.580002</c:v>
                </c:pt>
                <c:pt idx="233">
                  <c:v>33.479999999999997</c:v>
                </c:pt>
                <c:pt idx="234">
                  <c:v>33.43</c:v>
                </c:pt>
                <c:pt idx="235">
                  <c:v>32.650002000000001</c:v>
                </c:pt>
                <c:pt idx="236">
                  <c:v>32.68</c:v>
                </c:pt>
                <c:pt idx="237">
                  <c:v>32.659999999999997</c:v>
                </c:pt>
                <c:pt idx="238">
                  <c:v>32.869999</c:v>
                </c:pt>
                <c:pt idx="239">
                  <c:v>32.810001</c:v>
                </c:pt>
                <c:pt idx="240">
                  <c:v>32.189999</c:v>
                </c:pt>
                <c:pt idx="241">
                  <c:v>31.459999</c:v>
                </c:pt>
                <c:pt idx="242">
                  <c:v>31.5</c:v>
                </c:pt>
                <c:pt idx="243">
                  <c:v>31.01</c:v>
                </c:pt>
                <c:pt idx="244">
                  <c:v>30.52</c:v>
                </c:pt>
                <c:pt idx="245">
                  <c:v>29.67</c:v>
                </c:pt>
                <c:pt idx="246">
                  <c:v>28.9</c:v>
                </c:pt>
                <c:pt idx="247">
                  <c:v>30.34</c:v>
                </c:pt>
                <c:pt idx="248">
                  <c:v>30.610001</c:v>
                </c:pt>
                <c:pt idx="249">
                  <c:v>30.58</c:v>
                </c:pt>
                <c:pt idx="250">
                  <c:v>30.91</c:v>
                </c:pt>
                <c:pt idx="251">
                  <c:v>30.91</c:v>
                </c:pt>
                <c:pt idx="252">
                  <c:v>30.18</c:v>
                </c:pt>
                <c:pt idx="253">
                  <c:v>31.23</c:v>
                </c:pt>
                <c:pt idx="254">
                  <c:v>31.530000999999999</c:v>
                </c:pt>
                <c:pt idx="255">
                  <c:v>31.870000999999998</c:v>
                </c:pt>
                <c:pt idx="256">
                  <c:v>32.049999</c:v>
                </c:pt>
                <c:pt idx="257">
                  <c:v>32.169998</c:v>
                </c:pt>
                <c:pt idx="258">
                  <c:v>32.18</c:v>
                </c:pt>
                <c:pt idx="259">
                  <c:v>32</c:v>
                </c:pt>
                <c:pt idx="260">
                  <c:v>32.340000000000003</c:v>
                </c:pt>
                <c:pt idx="261">
                  <c:v>32.439999</c:v>
                </c:pt>
                <c:pt idx="262">
                  <c:v>32.720001000000003</c:v>
                </c:pt>
                <c:pt idx="263">
                  <c:v>33.119999</c:v>
                </c:pt>
                <c:pt idx="264">
                  <c:v>32.68</c:v>
                </c:pt>
                <c:pt idx="265">
                  <c:v>32.720001000000003</c:v>
                </c:pt>
                <c:pt idx="266">
                  <c:v>32.790000999999997</c:v>
                </c:pt>
                <c:pt idx="267">
                  <c:v>33.099997999999999</c:v>
                </c:pt>
                <c:pt idx="268">
                  <c:v>32.889999000000003</c:v>
                </c:pt>
                <c:pt idx="269">
                  <c:v>32.830002</c:v>
                </c:pt>
                <c:pt idx="270">
                  <c:v>33.340000000000003</c:v>
                </c:pt>
                <c:pt idx="271">
                  <c:v>33.619999</c:v>
                </c:pt>
                <c:pt idx="272">
                  <c:v>33.650002000000001</c:v>
                </c:pt>
                <c:pt idx="273">
                  <c:v>33.909999999999997</c:v>
                </c:pt>
                <c:pt idx="274">
                  <c:v>34.060001</c:v>
                </c:pt>
                <c:pt idx="275">
                  <c:v>34.020000000000003</c:v>
                </c:pt>
                <c:pt idx="276">
                  <c:v>33.720001000000003</c:v>
                </c:pt>
                <c:pt idx="277">
                  <c:v>33.75</c:v>
                </c:pt>
                <c:pt idx="278">
                  <c:v>33.810001</c:v>
                </c:pt>
                <c:pt idx="279">
                  <c:v>34.220001000000003</c:v>
                </c:pt>
                <c:pt idx="280">
                  <c:v>34.330002</c:v>
                </c:pt>
                <c:pt idx="281">
                  <c:v>34.270000000000003</c:v>
                </c:pt>
                <c:pt idx="282">
                  <c:v>34.669998</c:v>
                </c:pt>
                <c:pt idx="283">
                  <c:v>34.729999999999997</c:v>
                </c:pt>
                <c:pt idx="284">
                  <c:v>34.810001</c:v>
                </c:pt>
                <c:pt idx="285">
                  <c:v>34.68</c:v>
                </c:pt>
                <c:pt idx="286">
                  <c:v>34.889999000000003</c:v>
                </c:pt>
                <c:pt idx="287">
                  <c:v>34.950001</c:v>
                </c:pt>
                <c:pt idx="288">
                  <c:v>34.909999999999997</c:v>
                </c:pt>
                <c:pt idx="289">
                  <c:v>34.909999999999997</c:v>
                </c:pt>
                <c:pt idx="290">
                  <c:v>34.830002</c:v>
                </c:pt>
                <c:pt idx="291">
                  <c:v>35.07</c:v>
                </c:pt>
                <c:pt idx="292">
                  <c:v>34.880001</c:v>
                </c:pt>
                <c:pt idx="293">
                  <c:v>34.840000000000003</c:v>
                </c:pt>
                <c:pt idx="294">
                  <c:v>34.57</c:v>
                </c:pt>
                <c:pt idx="295">
                  <c:v>34.279998999999997</c:v>
                </c:pt>
                <c:pt idx="296">
                  <c:v>34.200001</c:v>
                </c:pt>
                <c:pt idx="297">
                  <c:v>34.720001000000003</c:v>
                </c:pt>
                <c:pt idx="298">
                  <c:v>34.82</c:v>
                </c:pt>
                <c:pt idx="299">
                  <c:v>35.049999</c:v>
                </c:pt>
                <c:pt idx="300">
                  <c:v>35.029998999999997</c:v>
                </c:pt>
                <c:pt idx="301">
                  <c:v>35.040000999999997</c:v>
                </c:pt>
                <c:pt idx="302">
                  <c:v>35.169998</c:v>
                </c:pt>
                <c:pt idx="303">
                  <c:v>35.169998</c:v>
                </c:pt>
                <c:pt idx="304">
                  <c:v>35.029998999999997</c:v>
                </c:pt>
                <c:pt idx="305">
                  <c:v>35.450001</c:v>
                </c:pt>
                <c:pt idx="306">
                  <c:v>34.68</c:v>
                </c:pt>
                <c:pt idx="307">
                  <c:v>34.689999</c:v>
                </c:pt>
                <c:pt idx="308">
                  <c:v>34.950001</c:v>
                </c:pt>
                <c:pt idx="309">
                  <c:v>34.770000000000003</c:v>
                </c:pt>
                <c:pt idx="310">
                  <c:v>34.939999</c:v>
                </c:pt>
                <c:pt idx="311">
                  <c:v>35.18</c:v>
                </c:pt>
                <c:pt idx="312">
                  <c:v>35.590000000000003</c:v>
                </c:pt>
                <c:pt idx="313">
                  <c:v>35.599997999999999</c:v>
                </c:pt>
                <c:pt idx="314">
                  <c:v>35.68</c:v>
                </c:pt>
                <c:pt idx="315">
                  <c:v>35.75</c:v>
                </c:pt>
                <c:pt idx="316">
                  <c:v>35.939999</c:v>
                </c:pt>
                <c:pt idx="317">
                  <c:v>35.970001000000003</c:v>
                </c:pt>
                <c:pt idx="318">
                  <c:v>35.729999999999997</c:v>
                </c:pt>
                <c:pt idx="319">
                  <c:v>35.93</c:v>
                </c:pt>
                <c:pt idx="320">
                  <c:v>35.900002000000001</c:v>
                </c:pt>
                <c:pt idx="321">
                  <c:v>36.150002000000001</c:v>
                </c:pt>
                <c:pt idx="322">
                  <c:v>36.119999</c:v>
                </c:pt>
                <c:pt idx="323">
                  <c:v>36.119999</c:v>
                </c:pt>
                <c:pt idx="324">
                  <c:v>36.009998000000003</c:v>
                </c:pt>
                <c:pt idx="325">
                  <c:v>36.049999</c:v>
                </c:pt>
                <c:pt idx="326">
                  <c:v>36.099997999999999</c:v>
                </c:pt>
                <c:pt idx="327">
                  <c:v>36.450001</c:v>
                </c:pt>
                <c:pt idx="328">
                  <c:v>36.400002000000001</c:v>
                </c:pt>
                <c:pt idx="329">
                  <c:v>36.330002</c:v>
                </c:pt>
                <c:pt idx="330">
                  <c:v>36.490001999999997</c:v>
                </c:pt>
                <c:pt idx="331">
                  <c:v>36.540000999999997</c:v>
                </c:pt>
                <c:pt idx="332">
                  <c:v>36.580002</c:v>
                </c:pt>
                <c:pt idx="333">
                  <c:v>36.330002</c:v>
                </c:pt>
                <c:pt idx="334">
                  <c:v>36.259998000000003</c:v>
                </c:pt>
                <c:pt idx="335">
                  <c:v>36.650002000000001</c:v>
                </c:pt>
                <c:pt idx="336">
                  <c:v>36.549999</c:v>
                </c:pt>
                <c:pt idx="337">
                  <c:v>35.900002000000001</c:v>
                </c:pt>
                <c:pt idx="338">
                  <c:v>35.860000999999997</c:v>
                </c:pt>
                <c:pt idx="339">
                  <c:v>35.740001999999997</c:v>
                </c:pt>
                <c:pt idx="340">
                  <c:v>35.880001</c:v>
                </c:pt>
                <c:pt idx="341">
                  <c:v>34.979999999999997</c:v>
                </c:pt>
                <c:pt idx="342">
                  <c:v>35.32</c:v>
                </c:pt>
                <c:pt idx="343">
                  <c:v>35.5</c:v>
                </c:pt>
                <c:pt idx="344">
                  <c:v>35.799999</c:v>
                </c:pt>
                <c:pt idx="345">
                  <c:v>35.580002</c:v>
                </c:pt>
                <c:pt idx="346">
                  <c:v>35.330002</c:v>
                </c:pt>
                <c:pt idx="347">
                  <c:v>35.669998</c:v>
                </c:pt>
                <c:pt idx="348">
                  <c:v>35.520000000000003</c:v>
                </c:pt>
                <c:pt idx="349">
                  <c:v>35.07</c:v>
                </c:pt>
                <c:pt idx="350">
                  <c:v>35.159999999999997</c:v>
                </c:pt>
                <c:pt idx="351">
                  <c:v>34.849997999999999</c:v>
                </c:pt>
                <c:pt idx="352">
                  <c:v>34.619999</c:v>
                </c:pt>
                <c:pt idx="353">
                  <c:v>34.659999999999997</c:v>
                </c:pt>
                <c:pt idx="354">
                  <c:v>34.229999999999997</c:v>
                </c:pt>
                <c:pt idx="355">
                  <c:v>34.159999999999997</c:v>
                </c:pt>
                <c:pt idx="356">
                  <c:v>34.93</c:v>
                </c:pt>
                <c:pt idx="357">
                  <c:v>35.209999000000003</c:v>
                </c:pt>
                <c:pt idx="358">
                  <c:v>35.419998</c:v>
                </c:pt>
                <c:pt idx="359">
                  <c:v>35.759998000000003</c:v>
                </c:pt>
                <c:pt idx="360">
                  <c:v>35.93</c:v>
                </c:pt>
                <c:pt idx="361">
                  <c:v>35.919998</c:v>
                </c:pt>
                <c:pt idx="362">
                  <c:v>35.860000999999997</c:v>
                </c:pt>
                <c:pt idx="363">
                  <c:v>36.009998000000003</c:v>
                </c:pt>
                <c:pt idx="364">
                  <c:v>35.919998</c:v>
                </c:pt>
                <c:pt idx="365">
                  <c:v>36.009998000000003</c:v>
                </c:pt>
                <c:pt idx="366">
                  <c:v>36.369999</c:v>
                </c:pt>
                <c:pt idx="367">
                  <c:v>36.479999999999997</c:v>
                </c:pt>
                <c:pt idx="368">
                  <c:v>36.82</c:v>
                </c:pt>
                <c:pt idx="369">
                  <c:v>36.529998999999997</c:v>
                </c:pt>
                <c:pt idx="370">
                  <c:v>36.419998</c:v>
                </c:pt>
                <c:pt idx="371">
                  <c:v>36.049999</c:v>
                </c:pt>
                <c:pt idx="372">
                  <c:v>36.029998999999997</c:v>
                </c:pt>
                <c:pt idx="373">
                  <c:v>36.25</c:v>
                </c:pt>
                <c:pt idx="374">
                  <c:v>36.459999000000003</c:v>
                </c:pt>
                <c:pt idx="375">
                  <c:v>36.770000000000003</c:v>
                </c:pt>
                <c:pt idx="376">
                  <c:v>36.840000000000003</c:v>
                </c:pt>
                <c:pt idx="377">
                  <c:v>37.130001</c:v>
                </c:pt>
                <c:pt idx="378">
                  <c:v>37.099997999999999</c:v>
                </c:pt>
                <c:pt idx="379">
                  <c:v>36.889999000000003</c:v>
                </c:pt>
                <c:pt idx="380">
                  <c:v>36.959999000000003</c:v>
                </c:pt>
                <c:pt idx="381">
                  <c:v>37.099997999999999</c:v>
                </c:pt>
                <c:pt idx="382">
                  <c:v>37.169998</c:v>
                </c:pt>
                <c:pt idx="383">
                  <c:v>37.349997999999999</c:v>
                </c:pt>
                <c:pt idx="384">
                  <c:v>37.340000000000003</c:v>
                </c:pt>
                <c:pt idx="385">
                  <c:v>37.189999</c:v>
                </c:pt>
                <c:pt idx="386">
                  <c:v>37</c:v>
                </c:pt>
                <c:pt idx="387">
                  <c:v>37.139999000000003</c:v>
                </c:pt>
                <c:pt idx="388">
                  <c:v>36.939999</c:v>
                </c:pt>
                <c:pt idx="389">
                  <c:v>37.029998999999997</c:v>
                </c:pt>
                <c:pt idx="390">
                  <c:v>37.259998000000003</c:v>
                </c:pt>
                <c:pt idx="391">
                  <c:v>37.490001999999997</c:v>
                </c:pt>
                <c:pt idx="392">
                  <c:v>37.310001</c:v>
                </c:pt>
                <c:pt idx="393">
                  <c:v>37.529998999999997</c:v>
                </c:pt>
                <c:pt idx="394">
                  <c:v>37.450001</c:v>
                </c:pt>
                <c:pt idx="395">
                  <c:v>37.400002000000001</c:v>
                </c:pt>
                <c:pt idx="396">
                  <c:v>37</c:v>
                </c:pt>
                <c:pt idx="397">
                  <c:v>36.689999</c:v>
                </c:pt>
                <c:pt idx="398">
                  <c:v>36.380001</c:v>
                </c:pt>
                <c:pt idx="399">
                  <c:v>35.270000000000003</c:v>
                </c:pt>
                <c:pt idx="400">
                  <c:v>35.729999999999997</c:v>
                </c:pt>
                <c:pt idx="401">
                  <c:v>35.779998999999997</c:v>
                </c:pt>
                <c:pt idx="402">
                  <c:v>36.490001999999997</c:v>
                </c:pt>
                <c:pt idx="403">
                  <c:v>36.189999</c:v>
                </c:pt>
                <c:pt idx="404">
                  <c:v>35.740001999999997</c:v>
                </c:pt>
                <c:pt idx="405">
                  <c:v>36.290000999999997</c:v>
                </c:pt>
                <c:pt idx="406">
                  <c:v>35.229999999999997</c:v>
                </c:pt>
                <c:pt idx="407">
                  <c:v>35.290000999999997</c:v>
                </c:pt>
                <c:pt idx="408">
                  <c:v>35.810001</c:v>
                </c:pt>
                <c:pt idx="409">
                  <c:v>36.25</c:v>
                </c:pt>
                <c:pt idx="410">
                  <c:v>35.979999999999997</c:v>
                </c:pt>
                <c:pt idx="411">
                  <c:v>36.259998000000003</c:v>
                </c:pt>
                <c:pt idx="412">
                  <c:v>36.270000000000003</c:v>
                </c:pt>
                <c:pt idx="413">
                  <c:v>35.310001</c:v>
                </c:pt>
                <c:pt idx="414">
                  <c:v>35.669998</c:v>
                </c:pt>
                <c:pt idx="415">
                  <c:v>35.529998999999997</c:v>
                </c:pt>
                <c:pt idx="416">
                  <c:v>35.770000000000003</c:v>
                </c:pt>
                <c:pt idx="417">
                  <c:v>36.240001999999997</c:v>
                </c:pt>
                <c:pt idx="418">
                  <c:v>36.240001999999997</c:v>
                </c:pt>
                <c:pt idx="419">
                  <c:v>36</c:v>
                </c:pt>
                <c:pt idx="420">
                  <c:v>36.380001</c:v>
                </c:pt>
                <c:pt idx="421">
                  <c:v>36.869999</c:v>
                </c:pt>
                <c:pt idx="422">
                  <c:v>36.880001</c:v>
                </c:pt>
                <c:pt idx="423">
                  <c:v>36.909999999999997</c:v>
                </c:pt>
                <c:pt idx="424">
                  <c:v>36.909999999999997</c:v>
                </c:pt>
                <c:pt idx="425">
                  <c:v>37.229999999999997</c:v>
                </c:pt>
                <c:pt idx="426">
                  <c:v>37.330002</c:v>
                </c:pt>
                <c:pt idx="427">
                  <c:v>37.270000000000003</c:v>
                </c:pt>
                <c:pt idx="428">
                  <c:v>37.240001999999997</c:v>
                </c:pt>
                <c:pt idx="429">
                  <c:v>37.32</c:v>
                </c:pt>
                <c:pt idx="430">
                  <c:v>37.299999</c:v>
                </c:pt>
                <c:pt idx="431">
                  <c:v>37.290000999999997</c:v>
                </c:pt>
                <c:pt idx="432">
                  <c:v>36.970001000000003</c:v>
                </c:pt>
                <c:pt idx="433">
                  <c:v>36.959999000000003</c:v>
                </c:pt>
                <c:pt idx="434">
                  <c:v>36.619999</c:v>
                </c:pt>
                <c:pt idx="435">
                  <c:v>36.869999</c:v>
                </c:pt>
                <c:pt idx="436">
                  <c:v>36.759998000000003</c:v>
                </c:pt>
                <c:pt idx="437">
                  <c:v>36.529998999999997</c:v>
                </c:pt>
                <c:pt idx="438">
                  <c:v>36.740001999999997</c:v>
                </c:pt>
                <c:pt idx="439">
                  <c:v>36.259998000000003</c:v>
                </c:pt>
                <c:pt idx="440">
                  <c:v>35.630001</c:v>
                </c:pt>
                <c:pt idx="441">
                  <c:v>35.950001</c:v>
                </c:pt>
                <c:pt idx="442">
                  <c:v>36.43</c:v>
                </c:pt>
                <c:pt idx="443">
                  <c:v>36.259998000000003</c:v>
                </c:pt>
                <c:pt idx="444">
                  <c:v>35.709999000000003</c:v>
                </c:pt>
                <c:pt idx="445">
                  <c:v>36.009998000000003</c:v>
                </c:pt>
                <c:pt idx="446">
                  <c:v>36.279998999999997</c:v>
                </c:pt>
                <c:pt idx="447">
                  <c:v>36.68</c:v>
                </c:pt>
                <c:pt idx="448">
                  <c:v>36.639999000000003</c:v>
                </c:pt>
                <c:pt idx="449">
                  <c:v>36.959999000000003</c:v>
                </c:pt>
                <c:pt idx="450">
                  <c:v>36.880001</c:v>
                </c:pt>
                <c:pt idx="451">
                  <c:v>37.029998999999997</c:v>
                </c:pt>
                <c:pt idx="452">
                  <c:v>36.880001</c:v>
                </c:pt>
                <c:pt idx="453">
                  <c:v>37.139999000000003</c:v>
                </c:pt>
                <c:pt idx="454">
                  <c:v>37.029998999999997</c:v>
                </c:pt>
                <c:pt idx="455">
                  <c:v>37.090000000000003</c:v>
                </c:pt>
                <c:pt idx="456">
                  <c:v>37.209999000000003</c:v>
                </c:pt>
                <c:pt idx="457">
                  <c:v>37.369999</c:v>
                </c:pt>
                <c:pt idx="458">
                  <c:v>37.57</c:v>
                </c:pt>
                <c:pt idx="459">
                  <c:v>37.57</c:v>
                </c:pt>
                <c:pt idx="460">
                  <c:v>37.669998</c:v>
                </c:pt>
                <c:pt idx="461">
                  <c:v>37.540000999999997</c:v>
                </c:pt>
                <c:pt idx="462">
                  <c:v>37.93</c:v>
                </c:pt>
                <c:pt idx="463">
                  <c:v>38.07</c:v>
                </c:pt>
                <c:pt idx="464">
                  <c:v>38</c:v>
                </c:pt>
                <c:pt idx="465">
                  <c:v>37.979999999999997</c:v>
                </c:pt>
                <c:pt idx="466">
                  <c:v>38.110000999999997</c:v>
                </c:pt>
                <c:pt idx="467">
                  <c:v>38.220001000000003</c:v>
                </c:pt>
                <c:pt idx="468">
                  <c:v>38.18</c:v>
                </c:pt>
                <c:pt idx="469">
                  <c:v>38.220001000000003</c:v>
                </c:pt>
                <c:pt idx="470">
                  <c:v>38.259998000000003</c:v>
                </c:pt>
                <c:pt idx="471">
                  <c:v>38.270000000000003</c:v>
                </c:pt>
                <c:pt idx="472">
                  <c:v>38.590000000000003</c:v>
                </c:pt>
                <c:pt idx="473">
                  <c:v>38.580002</c:v>
                </c:pt>
                <c:pt idx="474">
                  <c:v>38.619999</c:v>
                </c:pt>
                <c:pt idx="475">
                  <c:v>38.479999999999997</c:v>
                </c:pt>
                <c:pt idx="476">
                  <c:v>38.400002000000001</c:v>
                </c:pt>
                <c:pt idx="477">
                  <c:v>38.520000000000003</c:v>
                </c:pt>
                <c:pt idx="478">
                  <c:v>38.869999</c:v>
                </c:pt>
                <c:pt idx="479">
                  <c:v>38.93</c:v>
                </c:pt>
                <c:pt idx="480">
                  <c:v>39.110000999999997</c:v>
                </c:pt>
                <c:pt idx="481">
                  <c:v>38.950001</c:v>
                </c:pt>
                <c:pt idx="482">
                  <c:v>38.630001</c:v>
                </c:pt>
                <c:pt idx="483">
                  <c:v>38.380001</c:v>
                </c:pt>
                <c:pt idx="484">
                  <c:v>38.580002</c:v>
                </c:pt>
                <c:pt idx="485">
                  <c:v>38.659999999999997</c:v>
                </c:pt>
                <c:pt idx="486">
                  <c:v>39</c:v>
                </c:pt>
                <c:pt idx="487">
                  <c:v>38.860000999999997</c:v>
                </c:pt>
                <c:pt idx="488">
                  <c:v>38.860000999999997</c:v>
                </c:pt>
                <c:pt idx="489">
                  <c:v>38.950001</c:v>
                </c:pt>
                <c:pt idx="490">
                  <c:v>39.25</c:v>
                </c:pt>
                <c:pt idx="491">
                  <c:v>39.25</c:v>
                </c:pt>
                <c:pt idx="492">
                  <c:v>39.549999</c:v>
                </c:pt>
                <c:pt idx="493">
                  <c:v>39.549999</c:v>
                </c:pt>
                <c:pt idx="494">
                  <c:v>39.599997999999999</c:v>
                </c:pt>
                <c:pt idx="495">
                  <c:v>39.75</c:v>
                </c:pt>
                <c:pt idx="496">
                  <c:v>39.779998999999997</c:v>
                </c:pt>
                <c:pt idx="497">
                  <c:v>39.779998999999997</c:v>
                </c:pt>
                <c:pt idx="498">
                  <c:v>39.830002</c:v>
                </c:pt>
                <c:pt idx="499">
                  <c:v>39.970001000000003</c:v>
                </c:pt>
                <c:pt idx="500">
                  <c:v>39.950001</c:v>
                </c:pt>
                <c:pt idx="501">
                  <c:v>39.770000000000003</c:v>
                </c:pt>
                <c:pt idx="502">
                  <c:v>39.860000999999997</c:v>
                </c:pt>
                <c:pt idx="503">
                  <c:v>40.18</c:v>
                </c:pt>
                <c:pt idx="504">
                  <c:v>39.939999</c:v>
                </c:pt>
                <c:pt idx="505">
                  <c:v>40.080002</c:v>
                </c:pt>
                <c:pt idx="506">
                  <c:v>39.970001000000003</c:v>
                </c:pt>
                <c:pt idx="507">
                  <c:v>40.139999000000003</c:v>
                </c:pt>
                <c:pt idx="508">
                  <c:v>40.389999000000003</c:v>
                </c:pt>
                <c:pt idx="509">
                  <c:v>40.299999</c:v>
                </c:pt>
                <c:pt idx="510">
                  <c:v>40.590000000000003</c:v>
                </c:pt>
                <c:pt idx="511">
                  <c:v>40.529998999999997</c:v>
                </c:pt>
                <c:pt idx="512">
                  <c:v>40.630001</c:v>
                </c:pt>
                <c:pt idx="513">
                  <c:v>40.98</c:v>
                </c:pt>
                <c:pt idx="514">
                  <c:v>41.07</c:v>
                </c:pt>
                <c:pt idx="515">
                  <c:v>40.970001000000003</c:v>
                </c:pt>
                <c:pt idx="516">
                  <c:v>41.009998000000003</c:v>
                </c:pt>
                <c:pt idx="517">
                  <c:v>41.060001</c:v>
                </c:pt>
                <c:pt idx="518">
                  <c:v>40.650002000000001</c:v>
                </c:pt>
                <c:pt idx="519">
                  <c:v>40.060001</c:v>
                </c:pt>
                <c:pt idx="520">
                  <c:v>40.450001</c:v>
                </c:pt>
                <c:pt idx="521">
                  <c:v>40.380001</c:v>
                </c:pt>
                <c:pt idx="522">
                  <c:v>40.529998999999997</c:v>
                </c:pt>
                <c:pt idx="523">
                  <c:v>39.779998999999997</c:v>
                </c:pt>
                <c:pt idx="524">
                  <c:v>40.090000000000003</c:v>
                </c:pt>
                <c:pt idx="525">
                  <c:v>40.700001</c:v>
                </c:pt>
                <c:pt idx="526">
                  <c:v>41.139999000000003</c:v>
                </c:pt>
                <c:pt idx="527">
                  <c:v>41.25</c:v>
                </c:pt>
                <c:pt idx="528">
                  <c:v>41.029998999999997</c:v>
                </c:pt>
                <c:pt idx="529">
                  <c:v>41.34</c:v>
                </c:pt>
                <c:pt idx="530">
                  <c:v>41.43</c:v>
                </c:pt>
                <c:pt idx="531">
                  <c:v>41.700001</c:v>
                </c:pt>
                <c:pt idx="532">
                  <c:v>41.650002000000001</c:v>
                </c:pt>
                <c:pt idx="533">
                  <c:v>41.709999000000003</c:v>
                </c:pt>
                <c:pt idx="534">
                  <c:v>41.580002</c:v>
                </c:pt>
                <c:pt idx="535">
                  <c:v>41.810001</c:v>
                </c:pt>
                <c:pt idx="536">
                  <c:v>41.669998</c:v>
                </c:pt>
                <c:pt idx="537">
                  <c:v>41.209999000000003</c:v>
                </c:pt>
                <c:pt idx="538">
                  <c:v>39.880001</c:v>
                </c:pt>
                <c:pt idx="539">
                  <c:v>38.630001</c:v>
                </c:pt>
                <c:pt idx="540">
                  <c:v>38.470001000000003</c:v>
                </c:pt>
                <c:pt idx="541">
                  <c:v>36.770000000000003</c:v>
                </c:pt>
                <c:pt idx="542">
                  <c:v>36.490001999999997</c:v>
                </c:pt>
                <c:pt idx="543">
                  <c:v>38.110000999999997</c:v>
                </c:pt>
                <c:pt idx="544">
                  <c:v>37.049999</c:v>
                </c:pt>
                <c:pt idx="545">
                  <c:v>38.580002</c:v>
                </c:pt>
                <c:pt idx="546">
                  <c:v>37.290000999999997</c:v>
                </c:pt>
                <c:pt idx="547">
                  <c:v>36.610000999999997</c:v>
                </c:pt>
                <c:pt idx="548">
                  <c:v>33.790000999999997</c:v>
                </c:pt>
                <c:pt idx="549">
                  <c:v>35.439999</c:v>
                </c:pt>
                <c:pt idx="550">
                  <c:v>33.669998</c:v>
                </c:pt>
                <c:pt idx="551">
                  <c:v>30.35</c:v>
                </c:pt>
                <c:pt idx="552">
                  <c:v>33.130001</c:v>
                </c:pt>
                <c:pt idx="553">
                  <c:v>29.34</c:v>
                </c:pt>
                <c:pt idx="554">
                  <c:v>30.92</c:v>
                </c:pt>
                <c:pt idx="555">
                  <c:v>29.309999000000001</c:v>
                </c:pt>
                <c:pt idx="556">
                  <c:v>29.41</c:v>
                </c:pt>
                <c:pt idx="557">
                  <c:v>28.09</c:v>
                </c:pt>
                <c:pt idx="558">
                  <c:v>27.120000999999998</c:v>
                </c:pt>
                <c:pt idx="559">
                  <c:v>29.74</c:v>
                </c:pt>
                <c:pt idx="560">
                  <c:v>30.09</c:v>
                </c:pt>
                <c:pt idx="561">
                  <c:v>31.940000999999999</c:v>
                </c:pt>
                <c:pt idx="562">
                  <c:v>30.959999</c:v>
                </c:pt>
                <c:pt idx="563">
                  <c:v>31.93</c:v>
                </c:pt>
                <c:pt idx="564">
                  <c:v>31.450001</c:v>
                </c:pt>
                <c:pt idx="565">
                  <c:v>29.99</c:v>
                </c:pt>
                <c:pt idx="566">
                  <c:v>30.66</c:v>
                </c:pt>
                <c:pt idx="567">
                  <c:v>30.200001</c:v>
                </c:pt>
                <c:pt idx="568">
                  <c:v>32.270000000000003</c:v>
                </c:pt>
                <c:pt idx="569">
                  <c:v>32.310001</c:v>
                </c:pt>
                <c:pt idx="570">
                  <c:v>33.459999000000003</c:v>
                </c:pt>
                <c:pt idx="571">
                  <c:v>33.979999999999997</c:v>
                </c:pt>
                <c:pt idx="572">
                  <c:v>33.590000000000003</c:v>
                </c:pt>
                <c:pt idx="573">
                  <c:v>34.630001</c:v>
                </c:pt>
                <c:pt idx="574">
                  <c:v>33.799999</c:v>
                </c:pt>
                <c:pt idx="575">
                  <c:v>33.939999</c:v>
                </c:pt>
                <c:pt idx="576">
                  <c:v>34.919998</c:v>
                </c:pt>
                <c:pt idx="577">
                  <c:v>34.259998000000003</c:v>
                </c:pt>
                <c:pt idx="578">
                  <c:v>33.270000000000003</c:v>
                </c:pt>
                <c:pt idx="579">
                  <c:v>33.979999999999997</c:v>
                </c:pt>
                <c:pt idx="580">
                  <c:v>34.020000000000003</c:v>
                </c:pt>
                <c:pt idx="581">
                  <c:v>34.5</c:v>
                </c:pt>
                <c:pt idx="582">
                  <c:v>35.060001</c:v>
                </c:pt>
                <c:pt idx="583">
                  <c:v>34.909999999999997</c:v>
                </c:pt>
                <c:pt idx="584">
                  <c:v>35.909999999999997</c:v>
                </c:pt>
                <c:pt idx="585">
                  <c:v>35.5</c:v>
                </c:pt>
                <c:pt idx="586">
                  <c:v>34.529998999999997</c:v>
                </c:pt>
                <c:pt idx="587">
                  <c:v>34.619999</c:v>
                </c:pt>
                <c:pt idx="588">
                  <c:v>34.900002000000001</c:v>
                </c:pt>
                <c:pt idx="589">
                  <c:v>34.700001</c:v>
                </c:pt>
                <c:pt idx="590">
                  <c:v>35.090000000000003</c:v>
                </c:pt>
                <c:pt idx="591">
                  <c:v>35.729999999999997</c:v>
                </c:pt>
                <c:pt idx="592">
                  <c:v>35.729999999999997</c:v>
                </c:pt>
                <c:pt idx="593">
                  <c:v>34.979999999999997</c:v>
                </c:pt>
                <c:pt idx="594">
                  <c:v>34.290000999999997</c:v>
                </c:pt>
                <c:pt idx="595">
                  <c:v>34.689999</c:v>
                </c:pt>
                <c:pt idx="596">
                  <c:v>34.860000999999997</c:v>
                </c:pt>
                <c:pt idx="597">
                  <c:v>36.009998000000003</c:v>
                </c:pt>
                <c:pt idx="598">
                  <c:v>35.669998</c:v>
                </c:pt>
                <c:pt idx="599">
                  <c:v>36.290000999999997</c:v>
                </c:pt>
                <c:pt idx="600">
                  <c:v>36.049999</c:v>
                </c:pt>
                <c:pt idx="601">
                  <c:v>36.110000999999997</c:v>
                </c:pt>
                <c:pt idx="602">
                  <c:v>36.619999</c:v>
                </c:pt>
                <c:pt idx="603">
                  <c:v>37.220001000000003</c:v>
                </c:pt>
                <c:pt idx="604">
                  <c:v>37.119999</c:v>
                </c:pt>
                <c:pt idx="605">
                  <c:v>37.189999</c:v>
                </c:pt>
                <c:pt idx="606">
                  <c:v>37.389999000000003</c:v>
                </c:pt>
                <c:pt idx="607">
                  <c:v>37.709999000000003</c:v>
                </c:pt>
                <c:pt idx="608">
                  <c:v>38.299999</c:v>
                </c:pt>
                <c:pt idx="609">
                  <c:v>38.169998</c:v>
                </c:pt>
                <c:pt idx="610">
                  <c:v>39.220001000000003</c:v>
                </c:pt>
                <c:pt idx="611">
                  <c:v>39.740001999999997</c:v>
                </c:pt>
                <c:pt idx="612">
                  <c:v>39.360000999999997</c:v>
                </c:pt>
                <c:pt idx="613">
                  <c:v>39.07</c:v>
                </c:pt>
                <c:pt idx="614">
                  <c:v>36.770000000000003</c:v>
                </c:pt>
                <c:pt idx="615">
                  <c:v>37.259998000000003</c:v>
                </c:pt>
                <c:pt idx="616">
                  <c:v>37.580002</c:v>
                </c:pt>
                <c:pt idx="617">
                  <c:v>38.32</c:v>
                </c:pt>
                <c:pt idx="618">
                  <c:v>38.150002000000001</c:v>
                </c:pt>
                <c:pt idx="619">
                  <c:v>38.159999999999997</c:v>
                </c:pt>
                <c:pt idx="620">
                  <c:v>37.909999999999997</c:v>
                </c:pt>
                <c:pt idx="621">
                  <c:v>38.020000000000003</c:v>
                </c:pt>
                <c:pt idx="622">
                  <c:v>38.139999000000003</c:v>
                </c:pt>
                <c:pt idx="623">
                  <c:v>37.169998</c:v>
                </c:pt>
                <c:pt idx="624">
                  <c:v>37.57</c:v>
                </c:pt>
                <c:pt idx="625">
                  <c:v>36.669998</c:v>
                </c:pt>
                <c:pt idx="626">
                  <c:v>37.259998000000003</c:v>
                </c:pt>
                <c:pt idx="627">
                  <c:v>37.779998999999997</c:v>
                </c:pt>
                <c:pt idx="628">
                  <c:v>37.970001000000003</c:v>
                </c:pt>
                <c:pt idx="629">
                  <c:v>38.130001</c:v>
                </c:pt>
                <c:pt idx="630">
                  <c:v>38.709999000000003</c:v>
                </c:pt>
                <c:pt idx="631">
                  <c:v>38.310001</c:v>
                </c:pt>
                <c:pt idx="632">
                  <c:v>38.590000000000003</c:v>
                </c:pt>
                <c:pt idx="633">
                  <c:v>38.349997999999999</c:v>
                </c:pt>
                <c:pt idx="634">
                  <c:v>38.759998000000003</c:v>
                </c:pt>
                <c:pt idx="635">
                  <c:v>38.409999999999997</c:v>
                </c:pt>
                <c:pt idx="636">
                  <c:v>38.939999</c:v>
                </c:pt>
                <c:pt idx="637">
                  <c:v>39.360000999999997</c:v>
                </c:pt>
                <c:pt idx="638">
                  <c:v>39.200001</c:v>
                </c:pt>
                <c:pt idx="639">
                  <c:v>39.330002</c:v>
                </c:pt>
                <c:pt idx="640">
                  <c:v>39.610000999999997</c:v>
                </c:pt>
                <c:pt idx="641">
                  <c:v>39.709999000000003</c:v>
                </c:pt>
                <c:pt idx="642">
                  <c:v>39.950001</c:v>
                </c:pt>
                <c:pt idx="643">
                  <c:v>39.490001999999997</c:v>
                </c:pt>
                <c:pt idx="644">
                  <c:v>39.259998000000003</c:v>
                </c:pt>
                <c:pt idx="645">
                  <c:v>39.549999</c:v>
                </c:pt>
                <c:pt idx="646">
                  <c:v>39.290000999999997</c:v>
                </c:pt>
                <c:pt idx="647">
                  <c:v>39.810001</c:v>
                </c:pt>
                <c:pt idx="648">
                  <c:v>39.659999999999997</c:v>
                </c:pt>
                <c:pt idx="649">
                  <c:v>39.909999999999997</c:v>
                </c:pt>
                <c:pt idx="650">
                  <c:v>40.200001</c:v>
                </c:pt>
                <c:pt idx="651">
                  <c:v>40.349997999999999</c:v>
                </c:pt>
                <c:pt idx="652">
                  <c:v>40.659999999999997</c:v>
                </c:pt>
                <c:pt idx="653">
                  <c:v>40.880001</c:v>
                </c:pt>
                <c:pt idx="654">
                  <c:v>40.98</c:v>
                </c:pt>
                <c:pt idx="655">
                  <c:v>41.099997999999999</c:v>
                </c:pt>
                <c:pt idx="656">
                  <c:v>40.810001</c:v>
                </c:pt>
                <c:pt idx="657">
                  <c:v>41.310001</c:v>
                </c:pt>
                <c:pt idx="658">
                  <c:v>41.259998000000003</c:v>
                </c:pt>
                <c:pt idx="659">
                  <c:v>41.23</c:v>
                </c:pt>
                <c:pt idx="660">
                  <c:v>41.360000999999997</c:v>
                </c:pt>
                <c:pt idx="661">
                  <c:v>41.400002000000001</c:v>
                </c:pt>
                <c:pt idx="662">
                  <c:v>41.259998000000003</c:v>
                </c:pt>
                <c:pt idx="663">
                  <c:v>41.349997999999999</c:v>
                </c:pt>
                <c:pt idx="664">
                  <c:v>41.48</c:v>
                </c:pt>
                <c:pt idx="665">
                  <c:v>41.91</c:v>
                </c:pt>
                <c:pt idx="666">
                  <c:v>42.060001</c:v>
                </c:pt>
                <c:pt idx="667">
                  <c:v>42.43</c:v>
                </c:pt>
                <c:pt idx="668">
                  <c:v>42.5</c:v>
                </c:pt>
                <c:pt idx="669">
                  <c:v>42.77</c:v>
                </c:pt>
                <c:pt idx="670">
                  <c:v>42.639999000000003</c:v>
                </c:pt>
                <c:pt idx="671">
                  <c:v>43</c:v>
                </c:pt>
                <c:pt idx="672">
                  <c:v>43.650002000000001</c:v>
                </c:pt>
                <c:pt idx="673">
                  <c:v>42.169998</c:v>
                </c:pt>
                <c:pt idx="674">
                  <c:v>41.830002</c:v>
                </c:pt>
                <c:pt idx="675">
                  <c:v>40.669998</c:v>
                </c:pt>
                <c:pt idx="676">
                  <c:v>41.470001000000003</c:v>
                </c:pt>
                <c:pt idx="677">
                  <c:v>40.740001999999997</c:v>
                </c:pt>
                <c:pt idx="678">
                  <c:v>40.75</c:v>
                </c:pt>
                <c:pt idx="679">
                  <c:v>41.330002</c:v>
                </c:pt>
                <c:pt idx="680">
                  <c:v>41.529998999999997</c:v>
                </c:pt>
                <c:pt idx="681">
                  <c:v>41.389999000000003</c:v>
                </c:pt>
                <c:pt idx="682">
                  <c:v>41.040000999999997</c:v>
                </c:pt>
                <c:pt idx="683">
                  <c:v>40.580002</c:v>
                </c:pt>
                <c:pt idx="684">
                  <c:v>39.900002000000001</c:v>
                </c:pt>
                <c:pt idx="685">
                  <c:v>40.330002</c:v>
                </c:pt>
                <c:pt idx="686">
                  <c:v>39.389999000000003</c:v>
                </c:pt>
                <c:pt idx="687">
                  <c:v>39.490001999999997</c:v>
                </c:pt>
                <c:pt idx="688">
                  <c:v>40.110000999999997</c:v>
                </c:pt>
                <c:pt idx="689">
                  <c:v>40.810001</c:v>
                </c:pt>
                <c:pt idx="690">
                  <c:v>40.590000000000003</c:v>
                </c:pt>
                <c:pt idx="691">
                  <c:v>40.889999000000003</c:v>
                </c:pt>
                <c:pt idx="692">
                  <c:v>41.169998</c:v>
                </c:pt>
                <c:pt idx="693">
                  <c:v>40.840000000000003</c:v>
                </c:pt>
                <c:pt idx="694">
                  <c:v>41.59</c:v>
                </c:pt>
                <c:pt idx="695">
                  <c:v>41.040000999999997</c:v>
                </c:pt>
                <c:pt idx="696">
                  <c:v>41.73</c:v>
                </c:pt>
                <c:pt idx="697">
                  <c:v>42.110000999999997</c:v>
                </c:pt>
                <c:pt idx="698">
                  <c:v>42.439999</c:v>
                </c:pt>
                <c:pt idx="699">
                  <c:v>43.099997999999999</c:v>
                </c:pt>
                <c:pt idx="700">
                  <c:v>42.84</c:v>
                </c:pt>
                <c:pt idx="701">
                  <c:v>42.549999</c:v>
                </c:pt>
                <c:pt idx="702">
                  <c:v>42.529998999999997</c:v>
                </c:pt>
                <c:pt idx="703">
                  <c:v>42.5</c:v>
                </c:pt>
                <c:pt idx="704">
                  <c:v>41.849997999999999</c:v>
                </c:pt>
                <c:pt idx="705">
                  <c:v>42.040000999999997</c:v>
                </c:pt>
                <c:pt idx="706">
                  <c:v>41.959999000000003</c:v>
                </c:pt>
                <c:pt idx="707">
                  <c:v>42.200001</c:v>
                </c:pt>
                <c:pt idx="708">
                  <c:v>42.349997999999999</c:v>
                </c:pt>
                <c:pt idx="709">
                  <c:v>41.57</c:v>
                </c:pt>
                <c:pt idx="710">
                  <c:v>41.41</c:v>
                </c:pt>
                <c:pt idx="711">
                  <c:v>39.990001999999997</c:v>
                </c:pt>
                <c:pt idx="712">
                  <c:v>40.439999</c:v>
                </c:pt>
                <c:pt idx="713">
                  <c:v>39.959999000000003</c:v>
                </c:pt>
                <c:pt idx="714">
                  <c:v>40.470001000000003</c:v>
                </c:pt>
                <c:pt idx="715">
                  <c:v>41.189999</c:v>
                </c:pt>
                <c:pt idx="716">
                  <c:v>42.07</c:v>
                </c:pt>
                <c:pt idx="717">
                  <c:v>42.93</c:v>
                </c:pt>
                <c:pt idx="718">
                  <c:v>42.869999</c:v>
                </c:pt>
                <c:pt idx="719">
                  <c:v>43.5</c:v>
                </c:pt>
                <c:pt idx="720">
                  <c:v>43.5</c:v>
                </c:pt>
                <c:pt idx="721">
                  <c:v>43.779998999999997</c:v>
                </c:pt>
                <c:pt idx="722">
                  <c:v>43.34</c:v>
                </c:pt>
                <c:pt idx="723">
                  <c:v>43.959999000000003</c:v>
                </c:pt>
                <c:pt idx="724">
                  <c:v>44.540000999999997</c:v>
                </c:pt>
                <c:pt idx="725">
                  <c:v>44.32</c:v>
                </c:pt>
                <c:pt idx="726">
                  <c:v>43.82</c:v>
                </c:pt>
                <c:pt idx="727">
                  <c:v>43.990001999999997</c:v>
                </c:pt>
                <c:pt idx="728">
                  <c:v>43.73</c:v>
                </c:pt>
                <c:pt idx="729">
                  <c:v>44</c:v>
                </c:pt>
                <c:pt idx="730">
                  <c:v>44.720001000000003</c:v>
                </c:pt>
                <c:pt idx="731">
                  <c:v>44.639999000000003</c:v>
                </c:pt>
                <c:pt idx="732">
                  <c:v>44.779998999999997</c:v>
                </c:pt>
                <c:pt idx="733">
                  <c:v>44.509998000000003</c:v>
                </c:pt>
                <c:pt idx="734">
                  <c:v>45.009998000000003</c:v>
                </c:pt>
                <c:pt idx="735">
                  <c:v>45.099997999999999</c:v>
                </c:pt>
                <c:pt idx="736">
                  <c:v>45.130001</c:v>
                </c:pt>
                <c:pt idx="737">
                  <c:v>45.560001</c:v>
                </c:pt>
                <c:pt idx="738">
                  <c:v>45.470001000000003</c:v>
                </c:pt>
                <c:pt idx="739">
                  <c:v>45.599997999999999</c:v>
                </c:pt>
                <c:pt idx="740">
                  <c:v>45.200001</c:v>
                </c:pt>
                <c:pt idx="741">
                  <c:v>45.209999000000003</c:v>
                </c:pt>
                <c:pt idx="742">
                  <c:v>45.119999</c:v>
                </c:pt>
                <c:pt idx="743">
                  <c:v>44.919998</c:v>
                </c:pt>
                <c:pt idx="744">
                  <c:v>45.59</c:v>
                </c:pt>
                <c:pt idx="745">
                  <c:v>45.650002000000001</c:v>
                </c:pt>
                <c:pt idx="746">
                  <c:v>45.900002000000001</c:v>
                </c:pt>
                <c:pt idx="747">
                  <c:v>45.779998999999997</c:v>
                </c:pt>
                <c:pt idx="748">
                  <c:v>45.380001</c:v>
                </c:pt>
                <c:pt idx="749">
                  <c:v>45.279998999999997</c:v>
                </c:pt>
                <c:pt idx="750">
                  <c:v>45.389999000000003</c:v>
                </c:pt>
                <c:pt idx="751">
                  <c:v>45.549999</c:v>
                </c:pt>
                <c:pt idx="752">
                  <c:v>45.900002000000001</c:v>
                </c:pt>
                <c:pt idx="753">
                  <c:v>45.77</c:v>
                </c:pt>
                <c:pt idx="754">
                  <c:v>45.880001</c:v>
                </c:pt>
                <c:pt idx="755">
                  <c:v>46.09</c:v>
                </c:pt>
                <c:pt idx="756">
                  <c:v>45.48</c:v>
                </c:pt>
                <c:pt idx="757">
                  <c:v>45.790000999999997</c:v>
                </c:pt>
                <c:pt idx="758">
                  <c:v>46.200001</c:v>
                </c:pt>
                <c:pt idx="759">
                  <c:v>46.869999</c:v>
                </c:pt>
                <c:pt idx="760">
                  <c:v>47.099997999999999</c:v>
                </c:pt>
                <c:pt idx="761">
                  <c:v>46.869999</c:v>
                </c:pt>
                <c:pt idx="762">
                  <c:v>46.91</c:v>
                </c:pt>
                <c:pt idx="763">
                  <c:v>47</c:v>
                </c:pt>
                <c:pt idx="764">
                  <c:v>46.880001</c:v>
                </c:pt>
                <c:pt idx="765">
                  <c:v>46.529998999999997</c:v>
                </c:pt>
                <c:pt idx="766">
                  <c:v>46.869999</c:v>
                </c:pt>
                <c:pt idx="767">
                  <c:v>47.5</c:v>
                </c:pt>
                <c:pt idx="768">
                  <c:v>47.529998999999997</c:v>
                </c:pt>
                <c:pt idx="769">
                  <c:v>47.419998</c:v>
                </c:pt>
                <c:pt idx="770">
                  <c:v>47.57</c:v>
                </c:pt>
                <c:pt idx="771">
                  <c:v>47.459999000000003</c:v>
                </c:pt>
                <c:pt idx="772">
                  <c:v>46.360000999999997</c:v>
                </c:pt>
                <c:pt idx="773">
                  <c:v>46.669998</c:v>
                </c:pt>
                <c:pt idx="774">
                  <c:v>45.77</c:v>
                </c:pt>
                <c:pt idx="775">
                  <c:v>46.560001</c:v>
                </c:pt>
                <c:pt idx="776">
                  <c:v>47.189999</c:v>
                </c:pt>
                <c:pt idx="777">
                  <c:v>47.25</c:v>
                </c:pt>
                <c:pt idx="778">
                  <c:v>47.790000999999997</c:v>
                </c:pt>
                <c:pt idx="779">
                  <c:v>48.009998000000003</c:v>
                </c:pt>
                <c:pt idx="780">
                  <c:v>48.400002000000001</c:v>
                </c:pt>
                <c:pt idx="781">
                  <c:v>48.389999000000003</c:v>
                </c:pt>
                <c:pt idx="782">
                  <c:v>48.34</c:v>
                </c:pt>
                <c:pt idx="783">
                  <c:v>48.470001000000003</c:v>
                </c:pt>
                <c:pt idx="784">
                  <c:v>48.700001</c:v>
                </c:pt>
                <c:pt idx="785">
                  <c:v>48.66</c:v>
                </c:pt>
                <c:pt idx="786">
                  <c:v>48.650002000000001</c:v>
                </c:pt>
                <c:pt idx="787">
                  <c:v>48.369999</c:v>
                </c:pt>
                <c:pt idx="788">
                  <c:v>48.349997999999999</c:v>
                </c:pt>
                <c:pt idx="789">
                  <c:v>48.049999</c:v>
                </c:pt>
                <c:pt idx="790">
                  <c:v>48.07</c:v>
                </c:pt>
                <c:pt idx="791">
                  <c:v>48.669998</c:v>
                </c:pt>
                <c:pt idx="792">
                  <c:v>47.470001000000003</c:v>
                </c:pt>
                <c:pt idx="793">
                  <c:v>47.25</c:v>
                </c:pt>
                <c:pt idx="794">
                  <c:v>48.349997999999999</c:v>
                </c:pt>
                <c:pt idx="795">
                  <c:v>47.959999000000003</c:v>
                </c:pt>
                <c:pt idx="796">
                  <c:v>47.389999000000003</c:v>
                </c:pt>
                <c:pt idx="797">
                  <c:v>46.720001000000003</c:v>
                </c:pt>
                <c:pt idx="798">
                  <c:v>47.66</c:v>
                </c:pt>
                <c:pt idx="799">
                  <c:v>47.48</c:v>
                </c:pt>
                <c:pt idx="800">
                  <c:v>48.110000999999997</c:v>
                </c:pt>
                <c:pt idx="801">
                  <c:v>48.450001</c:v>
                </c:pt>
                <c:pt idx="802">
                  <c:v>48.98</c:v>
                </c:pt>
                <c:pt idx="803">
                  <c:v>49.049999</c:v>
                </c:pt>
                <c:pt idx="804">
                  <c:v>49.400002000000001</c:v>
                </c:pt>
                <c:pt idx="805">
                  <c:v>49.279998999999997</c:v>
                </c:pt>
                <c:pt idx="806">
                  <c:v>49.439999</c:v>
                </c:pt>
                <c:pt idx="807">
                  <c:v>48.700001</c:v>
                </c:pt>
                <c:pt idx="808">
                  <c:v>48.630001</c:v>
                </c:pt>
                <c:pt idx="809">
                  <c:v>48.740001999999997</c:v>
                </c:pt>
                <c:pt idx="810">
                  <c:v>48.279998999999997</c:v>
                </c:pt>
                <c:pt idx="811">
                  <c:v>48.049999</c:v>
                </c:pt>
                <c:pt idx="812">
                  <c:v>48.380001</c:v>
                </c:pt>
                <c:pt idx="813">
                  <c:v>49.189999</c:v>
                </c:pt>
                <c:pt idx="814">
                  <c:v>49.049999</c:v>
                </c:pt>
                <c:pt idx="815">
                  <c:v>48.990001999999997</c:v>
                </c:pt>
                <c:pt idx="816">
                  <c:v>49.189999</c:v>
                </c:pt>
                <c:pt idx="817">
                  <c:v>49.77</c:v>
                </c:pt>
                <c:pt idx="818">
                  <c:v>50.43</c:v>
                </c:pt>
                <c:pt idx="819">
                  <c:v>50.369999</c:v>
                </c:pt>
                <c:pt idx="820">
                  <c:v>50.43</c:v>
                </c:pt>
                <c:pt idx="821">
                  <c:v>50.619999</c:v>
                </c:pt>
                <c:pt idx="822">
                  <c:v>50.970001000000003</c:v>
                </c:pt>
                <c:pt idx="823">
                  <c:v>51.040000999999997</c:v>
                </c:pt>
                <c:pt idx="824">
                  <c:v>51.130001</c:v>
                </c:pt>
                <c:pt idx="825">
                  <c:v>50.990001999999997</c:v>
                </c:pt>
                <c:pt idx="826">
                  <c:v>51.509998000000003</c:v>
                </c:pt>
                <c:pt idx="827">
                  <c:v>51.75</c:v>
                </c:pt>
                <c:pt idx="828">
                  <c:v>51.439999</c:v>
                </c:pt>
                <c:pt idx="829">
                  <c:v>51.07</c:v>
                </c:pt>
                <c:pt idx="830">
                  <c:v>51.580002</c:v>
                </c:pt>
                <c:pt idx="831">
                  <c:v>51.150002000000001</c:v>
                </c:pt>
                <c:pt idx="832">
                  <c:v>51.709999000000003</c:v>
                </c:pt>
                <c:pt idx="833">
                  <c:v>51.830002</c:v>
                </c:pt>
                <c:pt idx="834">
                  <c:v>51.830002</c:v>
                </c:pt>
                <c:pt idx="835">
                  <c:v>51.82</c:v>
                </c:pt>
                <c:pt idx="836">
                  <c:v>52.110000999999997</c:v>
                </c:pt>
                <c:pt idx="837">
                  <c:v>51.66</c:v>
                </c:pt>
                <c:pt idx="838">
                  <c:v>51.889999000000003</c:v>
                </c:pt>
                <c:pt idx="839">
                  <c:v>51.549999</c:v>
                </c:pt>
                <c:pt idx="840">
                  <c:v>51.580002</c:v>
                </c:pt>
                <c:pt idx="841">
                  <c:v>51.959999000000003</c:v>
                </c:pt>
                <c:pt idx="842">
                  <c:v>52.380001</c:v>
                </c:pt>
                <c:pt idx="843">
                  <c:v>51.82</c:v>
                </c:pt>
                <c:pt idx="844">
                  <c:v>51.400002000000001</c:v>
                </c:pt>
                <c:pt idx="845">
                  <c:v>50.259998000000003</c:v>
                </c:pt>
                <c:pt idx="846">
                  <c:v>50.889999000000003</c:v>
                </c:pt>
                <c:pt idx="847">
                  <c:v>51.639999000000003</c:v>
                </c:pt>
                <c:pt idx="848">
                  <c:v>51.529998999999997</c:v>
                </c:pt>
                <c:pt idx="849">
                  <c:v>51.119999</c:v>
                </c:pt>
                <c:pt idx="850">
                  <c:v>50.93</c:v>
                </c:pt>
                <c:pt idx="851">
                  <c:v>51.48</c:v>
                </c:pt>
                <c:pt idx="852">
                  <c:v>51.450001</c:v>
                </c:pt>
                <c:pt idx="853">
                  <c:v>51.950001</c:v>
                </c:pt>
                <c:pt idx="854">
                  <c:v>51.77</c:v>
                </c:pt>
                <c:pt idx="855">
                  <c:v>51.939999</c:v>
                </c:pt>
                <c:pt idx="856">
                  <c:v>51.959999000000003</c:v>
                </c:pt>
                <c:pt idx="857">
                  <c:v>52.09</c:v>
                </c:pt>
                <c:pt idx="858">
                  <c:v>52.060001</c:v>
                </c:pt>
                <c:pt idx="859">
                  <c:v>52.16</c:v>
                </c:pt>
                <c:pt idx="860">
                  <c:v>51.93</c:v>
                </c:pt>
                <c:pt idx="861">
                  <c:v>52.389999000000003</c:v>
                </c:pt>
                <c:pt idx="862">
                  <c:v>52.34</c:v>
                </c:pt>
                <c:pt idx="863">
                  <c:v>52.369999</c:v>
                </c:pt>
                <c:pt idx="864">
                  <c:v>52.290000999999997</c:v>
                </c:pt>
                <c:pt idx="865">
                  <c:v>52.509998000000003</c:v>
                </c:pt>
                <c:pt idx="866">
                  <c:v>52.639999000000003</c:v>
                </c:pt>
                <c:pt idx="867">
                  <c:v>52.68</c:v>
                </c:pt>
                <c:pt idx="868">
                  <c:v>52.599997999999999</c:v>
                </c:pt>
                <c:pt idx="869">
                  <c:v>52.299999</c:v>
                </c:pt>
                <c:pt idx="870">
                  <c:v>52.25</c:v>
                </c:pt>
                <c:pt idx="871">
                  <c:v>51.509998000000003</c:v>
                </c:pt>
                <c:pt idx="872">
                  <c:v>52.029998999999997</c:v>
                </c:pt>
                <c:pt idx="873">
                  <c:v>52.290000999999997</c:v>
                </c:pt>
                <c:pt idx="874">
                  <c:v>52.310001</c:v>
                </c:pt>
                <c:pt idx="875">
                  <c:v>52.610000999999997</c:v>
                </c:pt>
                <c:pt idx="876">
                  <c:v>52.849997999999999</c:v>
                </c:pt>
                <c:pt idx="877">
                  <c:v>52.900002000000001</c:v>
                </c:pt>
                <c:pt idx="878">
                  <c:v>52.91</c:v>
                </c:pt>
                <c:pt idx="879">
                  <c:v>52.970001000000003</c:v>
                </c:pt>
                <c:pt idx="880">
                  <c:v>53.279998999999997</c:v>
                </c:pt>
                <c:pt idx="881">
                  <c:v>53.619999</c:v>
                </c:pt>
                <c:pt idx="882">
                  <c:v>53.470001000000003</c:v>
                </c:pt>
                <c:pt idx="883">
                  <c:v>53.610000999999997</c:v>
                </c:pt>
                <c:pt idx="884">
                  <c:v>53.189999</c:v>
                </c:pt>
                <c:pt idx="885">
                  <c:v>53.799999</c:v>
                </c:pt>
                <c:pt idx="886">
                  <c:v>54</c:v>
                </c:pt>
                <c:pt idx="887">
                  <c:v>53.759998000000003</c:v>
                </c:pt>
                <c:pt idx="888">
                  <c:v>53.790000999999997</c:v>
                </c:pt>
                <c:pt idx="889">
                  <c:v>53.610000999999997</c:v>
                </c:pt>
                <c:pt idx="890">
                  <c:v>53.18</c:v>
                </c:pt>
                <c:pt idx="891">
                  <c:v>52.32</c:v>
                </c:pt>
                <c:pt idx="892">
                  <c:v>53.189999</c:v>
                </c:pt>
                <c:pt idx="893">
                  <c:v>53.650002000000001</c:v>
                </c:pt>
                <c:pt idx="894">
                  <c:v>53.700001</c:v>
                </c:pt>
                <c:pt idx="895">
                  <c:v>54.220001000000003</c:v>
                </c:pt>
                <c:pt idx="896">
                  <c:v>54.360000999999997</c:v>
                </c:pt>
                <c:pt idx="897">
                  <c:v>54.110000999999997</c:v>
                </c:pt>
                <c:pt idx="898">
                  <c:v>54.119999</c:v>
                </c:pt>
                <c:pt idx="899">
                  <c:v>54.380001</c:v>
                </c:pt>
                <c:pt idx="900">
                  <c:v>54.09</c:v>
                </c:pt>
                <c:pt idx="901">
                  <c:v>53.970001000000003</c:v>
                </c:pt>
                <c:pt idx="902">
                  <c:v>54.439999</c:v>
                </c:pt>
                <c:pt idx="903">
                  <c:v>54.099997999999999</c:v>
                </c:pt>
                <c:pt idx="904">
                  <c:v>54.470001000000003</c:v>
                </c:pt>
                <c:pt idx="905">
                  <c:v>54.59</c:v>
                </c:pt>
                <c:pt idx="906">
                  <c:v>54.560001</c:v>
                </c:pt>
                <c:pt idx="907">
                  <c:v>54.630001</c:v>
                </c:pt>
                <c:pt idx="908">
                  <c:v>54.799999</c:v>
                </c:pt>
                <c:pt idx="909">
                  <c:v>54.939999</c:v>
                </c:pt>
                <c:pt idx="910">
                  <c:v>55</c:v>
                </c:pt>
                <c:pt idx="911">
                  <c:v>55.09</c:v>
                </c:pt>
                <c:pt idx="912">
                  <c:v>54.73</c:v>
                </c:pt>
                <c:pt idx="913">
                  <c:v>54.150002000000001</c:v>
                </c:pt>
                <c:pt idx="914">
                  <c:v>54.139999000000003</c:v>
                </c:pt>
                <c:pt idx="915">
                  <c:v>54.610000999999997</c:v>
                </c:pt>
                <c:pt idx="916">
                  <c:v>55.119999</c:v>
                </c:pt>
                <c:pt idx="917">
                  <c:v>55.240001999999997</c:v>
                </c:pt>
                <c:pt idx="918">
                  <c:v>55.369999</c:v>
                </c:pt>
                <c:pt idx="919">
                  <c:v>55.009998000000003</c:v>
                </c:pt>
                <c:pt idx="920">
                  <c:v>55.580002</c:v>
                </c:pt>
                <c:pt idx="921">
                  <c:v>55.779998999999997</c:v>
                </c:pt>
                <c:pt idx="922">
                  <c:v>55.68</c:v>
                </c:pt>
                <c:pt idx="923">
                  <c:v>55.709999000000003</c:v>
                </c:pt>
                <c:pt idx="924">
                  <c:v>55.93</c:v>
                </c:pt>
                <c:pt idx="925">
                  <c:v>55.830002</c:v>
                </c:pt>
                <c:pt idx="926">
                  <c:v>55.639999000000003</c:v>
                </c:pt>
                <c:pt idx="927">
                  <c:v>55.560001</c:v>
                </c:pt>
                <c:pt idx="928">
                  <c:v>55.310001</c:v>
                </c:pt>
                <c:pt idx="929">
                  <c:v>54.869999</c:v>
                </c:pt>
                <c:pt idx="930">
                  <c:v>55</c:v>
                </c:pt>
                <c:pt idx="931">
                  <c:v>54.709999000000003</c:v>
                </c:pt>
                <c:pt idx="932">
                  <c:v>55.189999</c:v>
                </c:pt>
                <c:pt idx="933">
                  <c:v>55.060001</c:v>
                </c:pt>
                <c:pt idx="934">
                  <c:v>54.560001</c:v>
                </c:pt>
                <c:pt idx="935">
                  <c:v>53.43</c:v>
                </c:pt>
                <c:pt idx="936">
                  <c:v>53.450001</c:v>
                </c:pt>
                <c:pt idx="937">
                  <c:v>53.98</c:v>
                </c:pt>
                <c:pt idx="938">
                  <c:v>54.610000999999997</c:v>
                </c:pt>
                <c:pt idx="939">
                  <c:v>54.720001000000003</c:v>
                </c:pt>
                <c:pt idx="940">
                  <c:v>54.650002000000001</c:v>
                </c:pt>
                <c:pt idx="941">
                  <c:v>53.540000999999997</c:v>
                </c:pt>
                <c:pt idx="942">
                  <c:v>53.619999</c:v>
                </c:pt>
                <c:pt idx="943">
                  <c:v>52.990001999999997</c:v>
                </c:pt>
                <c:pt idx="944">
                  <c:v>53.630001</c:v>
                </c:pt>
                <c:pt idx="945">
                  <c:v>52.990001999999997</c:v>
                </c:pt>
                <c:pt idx="946">
                  <c:v>53.490001999999997</c:v>
                </c:pt>
                <c:pt idx="947">
                  <c:v>53.66</c:v>
                </c:pt>
                <c:pt idx="948">
                  <c:v>54.150002000000001</c:v>
                </c:pt>
                <c:pt idx="949">
                  <c:v>53.990001999999997</c:v>
                </c:pt>
                <c:pt idx="950">
                  <c:v>53.669998</c:v>
                </c:pt>
                <c:pt idx="951">
                  <c:v>53.57</c:v>
                </c:pt>
                <c:pt idx="952">
                  <c:v>53.709999000000003</c:v>
                </c:pt>
                <c:pt idx="953">
                  <c:v>54.610000999999997</c:v>
                </c:pt>
                <c:pt idx="954">
                  <c:v>54.990001999999997</c:v>
                </c:pt>
                <c:pt idx="955">
                  <c:v>55.200001</c:v>
                </c:pt>
                <c:pt idx="956">
                  <c:v>55.57</c:v>
                </c:pt>
                <c:pt idx="957">
                  <c:v>55.799999</c:v>
                </c:pt>
                <c:pt idx="958">
                  <c:v>55.98</c:v>
                </c:pt>
                <c:pt idx="959">
                  <c:v>55.93</c:v>
                </c:pt>
                <c:pt idx="960">
                  <c:v>56.200001</c:v>
                </c:pt>
                <c:pt idx="961">
                  <c:v>56.25</c:v>
                </c:pt>
                <c:pt idx="962">
                  <c:v>55.900002000000001</c:v>
                </c:pt>
                <c:pt idx="963">
                  <c:v>56.490001999999997</c:v>
                </c:pt>
                <c:pt idx="964">
                  <c:v>56.580002</c:v>
                </c:pt>
                <c:pt idx="965">
                  <c:v>56.77</c:v>
                </c:pt>
                <c:pt idx="966">
                  <c:v>56.98</c:v>
                </c:pt>
                <c:pt idx="967">
                  <c:v>57.400002000000001</c:v>
                </c:pt>
                <c:pt idx="968">
                  <c:v>57.57</c:v>
                </c:pt>
                <c:pt idx="969">
                  <c:v>57.880001</c:v>
                </c:pt>
                <c:pt idx="970">
                  <c:v>57.919998</c:v>
                </c:pt>
                <c:pt idx="971">
                  <c:v>57.720001000000003</c:v>
                </c:pt>
                <c:pt idx="972">
                  <c:v>57.290000999999997</c:v>
                </c:pt>
                <c:pt idx="973">
                  <c:v>57.330002</c:v>
                </c:pt>
                <c:pt idx="974">
                  <c:v>57.73</c:v>
                </c:pt>
                <c:pt idx="975">
                  <c:v>57.720001000000003</c:v>
                </c:pt>
                <c:pt idx="976">
                  <c:v>57.93</c:v>
                </c:pt>
                <c:pt idx="977">
                  <c:v>57.77</c:v>
                </c:pt>
                <c:pt idx="978">
                  <c:v>57.939999</c:v>
                </c:pt>
                <c:pt idx="979">
                  <c:v>57.799999</c:v>
                </c:pt>
                <c:pt idx="980">
                  <c:v>57.709999000000003</c:v>
                </c:pt>
                <c:pt idx="981">
                  <c:v>57.799999</c:v>
                </c:pt>
                <c:pt idx="982">
                  <c:v>57.869999</c:v>
                </c:pt>
                <c:pt idx="983">
                  <c:v>56.580002</c:v>
                </c:pt>
                <c:pt idx="984">
                  <c:v>57.220001000000003</c:v>
                </c:pt>
                <c:pt idx="985">
                  <c:v>56.130001</c:v>
                </c:pt>
                <c:pt idx="986">
                  <c:v>55.439999</c:v>
                </c:pt>
                <c:pt idx="987">
                  <c:v>56.290000999999997</c:v>
                </c:pt>
                <c:pt idx="988">
                  <c:v>55.830002</c:v>
                </c:pt>
                <c:pt idx="989">
                  <c:v>56.48</c:v>
                </c:pt>
                <c:pt idx="990">
                  <c:v>57.630001</c:v>
                </c:pt>
                <c:pt idx="991">
                  <c:v>57.84</c:v>
                </c:pt>
                <c:pt idx="992">
                  <c:v>57.41</c:v>
                </c:pt>
                <c:pt idx="993">
                  <c:v>57.91</c:v>
                </c:pt>
                <c:pt idx="994">
                  <c:v>57.389999000000003</c:v>
                </c:pt>
                <c:pt idx="995">
                  <c:v>56.970001000000003</c:v>
                </c:pt>
                <c:pt idx="996">
                  <c:v>57.790000999999997</c:v>
                </c:pt>
                <c:pt idx="997">
                  <c:v>57.34</c:v>
                </c:pt>
                <c:pt idx="998">
                  <c:v>56.790000999999997</c:v>
                </c:pt>
                <c:pt idx="999">
                  <c:v>55.91</c:v>
                </c:pt>
                <c:pt idx="1000">
                  <c:v>56.970001000000003</c:v>
                </c:pt>
                <c:pt idx="1001">
                  <c:v>57.509998000000003</c:v>
                </c:pt>
                <c:pt idx="1002">
                  <c:v>57.860000999999997</c:v>
                </c:pt>
                <c:pt idx="1003">
                  <c:v>58.720001000000003</c:v>
                </c:pt>
                <c:pt idx="1004">
                  <c:v>58.639999000000003</c:v>
                </c:pt>
                <c:pt idx="1005">
                  <c:v>58.740001999999997</c:v>
                </c:pt>
                <c:pt idx="1006">
                  <c:v>58.57</c:v>
                </c:pt>
                <c:pt idx="1007">
                  <c:v>58.450001</c:v>
                </c:pt>
                <c:pt idx="1008">
                  <c:v>58.77</c:v>
                </c:pt>
                <c:pt idx="1009">
                  <c:v>58.82</c:v>
                </c:pt>
                <c:pt idx="1010">
                  <c:v>57.66</c:v>
                </c:pt>
                <c:pt idx="1011">
                  <c:v>57.599997999999999</c:v>
                </c:pt>
                <c:pt idx="1012">
                  <c:v>57.400002000000001</c:v>
                </c:pt>
                <c:pt idx="1013">
                  <c:v>57.330002</c:v>
                </c:pt>
                <c:pt idx="1014">
                  <c:v>57.84</c:v>
                </c:pt>
                <c:pt idx="1015">
                  <c:v>57.939999</c:v>
                </c:pt>
                <c:pt idx="1016">
                  <c:v>57.189999</c:v>
                </c:pt>
                <c:pt idx="1017">
                  <c:v>57.240001999999997</c:v>
                </c:pt>
                <c:pt idx="1018">
                  <c:v>56.189999</c:v>
                </c:pt>
                <c:pt idx="1019">
                  <c:v>55.580002</c:v>
                </c:pt>
                <c:pt idx="1020">
                  <c:v>54.919998</c:v>
                </c:pt>
                <c:pt idx="1021">
                  <c:v>53.900002000000001</c:v>
                </c:pt>
                <c:pt idx="1022">
                  <c:v>54.189999</c:v>
                </c:pt>
                <c:pt idx="1023">
                  <c:v>53.52</c:v>
                </c:pt>
                <c:pt idx="1024">
                  <c:v>53.360000999999997</c:v>
                </c:pt>
                <c:pt idx="1025">
                  <c:v>53.009998000000003</c:v>
                </c:pt>
                <c:pt idx="1026">
                  <c:v>54.27</c:v>
                </c:pt>
                <c:pt idx="1027">
                  <c:v>55.299999</c:v>
                </c:pt>
                <c:pt idx="1028">
                  <c:v>55.700001</c:v>
                </c:pt>
                <c:pt idx="1029">
                  <c:v>56.18</c:v>
                </c:pt>
                <c:pt idx="1030">
                  <c:v>54.849997999999999</c:v>
                </c:pt>
                <c:pt idx="1031">
                  <c:v>55.16</c:v>
                </c:pt>
                <c:pt idx="1032">
                  <c:v>54.970001000000003</c:v>
                </c:pt>
                <c:pt idx="1033">
                  <c:v>55.470001000000003</c:v>
                </c:pt>
                <c:pt idx="1034">
                  <c:v>56.299999</c:v>
                </c:pt>
                <c:pt idx="1035">
                  <c:v>55.32</c:v>
                </c:pt>
                <c:pt idx="1036">
                  <c:v>54.27</c:v>
                </c:pt>
                <c:pt idx="1037">
                  <c:v>54.099997999999999</c:v>
                </c:pt>
                <c:pt idx="1038">
                  <c:v>54.939999</c:v>
                </c:pt>
                <c:pt idx="1039">
                  <c:v>55.040000999999997</c:v>
                </c:pt>
                <c:pt idx="1040">
                  <c:v>53.900002000000001</c:v>
                </c:pt>
                <c:pt idx="1041">
                  <c:v>53.529998999999997</c:v>
                </c:pt>
                <c:pt idx="1042">
                  <c:v>52.959999000000003</c:v>
                </c:pt>
                <c:pt idx="1043">
                  <c:v>52.009998000000003</c:v>
                </c:pt>
                <c:pt idx="1044">
                  <c:v>52.759998000000003</c:v>
                </c:pt>
                <c:pt idx="1045">
                  <c:v>53.98</c:v>
                </c:pt>
                <c:pt idx="1046">
                  <c:v>53.869999</c:v>
                </c:pt>
                <c:pt idx="1047">
                  <c:v>53.02</c:v>
                </c:pt>
                <c:pt idx="1048">
                  <c:v>53.990001999999997</c:v>
                </c:pt>
                <c:pt idx="1049">
                  <c:v>53.720001000000003</c:v>
                </c:pt>
                <c:pt idx="1050">
                  <c:v>53.310001</c:v>
                </c:pt>
                <c:pt idx="1051">
                  <c:v>51.709999000000003</c:v>
                </c:pt>
                <c:pt idx="1052">
                  <c:v>51.360000999999997</c:v>
                </c:pt>
                <c:pt idx="1053">
                  <c:v>52.73</c:v>
                </c:pt>
                <c:pt idx="1054">
                  <c:v>52.52</c:v>
                </c:pt>
                <c:pt idx="1055">
                  <c:v>51.849997999999999</c:v>
                </c:pt>
                <c:pt idx="1056">
                  <c:v>51.439999</c:v>
                </c:pt>
                <c:pt idx="1057">
                  <c:v>52.52</c:v>
                </c:pt>
                <c:pt idx="1058">
                  <c:v>53.709999000000003</c:v>
                </c:pt>
                <c:pt idx="1059">
                  <c:v>54.380001</c:v>
                </c:pt>
                <c:pt idx="1060">
                  <c:v>55</c:v>
                </c:pt>
                <c:pt idx="1061">
                  <c:v>54.759998000000003</c:v>
                </c:pt>
                <c:pt idx="1062">
                  <c:v>55.369999</c:v>
                </c:pt>
                <c:pt idx="1063">
                  <c:v>54.669998</c:v>
                </c:pt>
                <c:pt idx="1064">
                  <c:v>55.459999000000003</c:v>
                </c:pt>
                <c:pt idx="1065">
                  <c:v>55.700001</c:v>
                </c:pt>
                <c:pt idx="1066">
                  <c:v>56.07</c:v>
                </c:pt>
                <c:pt idx="1067">
                  <c:v>56.810001</c:v>
                </c:pt>
                <c:pt idx="1068">
                  <c:v>56.380001</c:v>
                </c:pt>
                <c:pt idx="1069">
                  <c:v>55.580002</c:v>
                </c:pt>
                <c:pt idx="1070">
                  <c:v>55.759998000000003</c:v>
                </c:pt>
                <c:pt idx="1071">
                  <c:v>56.150002000000001</c:v>
                </c:pt>
                <c:pt idx="1072">
                  <c:v>55.470001000000003</c:v>
                </c:pt>
                <c:pt idx="1073">
                  <c:v>54.900002000000001</c:v>
                </c:pt>
                <c:pt idx="1074">
                  <c:v>55.139999000000003</c:v>
                </c:pt>
                <c:pt idx="1075">
                  <c:v>54.98</c:v>
                </c:pt>
                <c:pt idx="1076">
                  <c:v>54.049999</c:v>
                </c:pt>
                <c:pt idx="1077">
                  <c:v>53.93</c:v>
                </c:pt>
                <c:pt idx="1078">
                  <c:v>54.580002</c:v>
                </c:pt>
                <c:pt idx="1079">
                  <c:v>53.93</c:v>
                </c:pt>
                <c:pt idx="1080">
                  <c:v>53.93</c:v>
                </c:pt>
                <c:pt idx="1081">
                  <c:v>54.799999</c:v>
                </c:pt>
                <c:pt idx="1082">
                  <c:v>54.810001</c:v>
                </c:pt>
                <c:pt idx="1083">
                  <c:v>54</c:v>
                </c:pt>
                <c:pt idx="1084">
                  <c:v>52.52</c:v>
                </c:pt>
                <c:pt idx="1085">
                  <c:v>52.810001</c:v>
                </c:pt>
                <c:pt idx="1086">
                  <c:v>51.299999</c:v>
                </c:pt>
                <c:pt idx="1087">
                  <c:v>51.41</c:v>
                </c:pt>
                <c:pt idx="1088">
                  <c:v>52.650002000000001</c:v>
                </c:pt>
                <c:pt idx="1089">
                  <c:v>50.810001</c:v>
                </c:pt>
                <c:pt idx="1090">
                  <c:v>51.09</c:v>
                </c:pt>
                <c:pt idx="1091">
                  <c:v>51.369999</c:v>
                </c:pt>
                <c:pt idx="1092">
                  <c:v>52.849997999999999</c:v>
                </c:pt>
                <c:pt idx="1093">
                  <c:v>51</c:v>
                </c:pt>
                <c:pt idx="1094">
                  <c:v>50.669998</c:v>
                </c:pt>
                <c:pt idx="1095">
                  <c:v>49.049999</c:v>
                </c:pt>
                <c:pt idx="1096">
                  <c:v>49.18</c:v>
                </c:pt>
                <c:pt idx="1097">
                  <c:v>48.369999</c:v>
                </c:pt>
                <c:pt idx="1098">
                  <c:v>48.349997999999999</c:v>
                </c:pt>
                <c:pt idx="1099">
                  <c:v>49.509998000000003</c:v>
                </c:pt>
                <c:pt idx="1100">
                  <c:v>49.32</c:v>
                </c:pt>
                <c:pt idx="1101">
                  <c:v>50.330002</c:v>
                </c:pt>
                <c:pt idx="1102">
                  <c:v>48.349997999999999</c:v>
                </c:pt>
                <c:pt idx="1103">
                  <c:v>48.080002</c:v>
                </c:pt>
                <c:pt idx="1104">
                  <c:v>48.049999</c:v>
                </c:pt>
                <c:pt idx="1105">
                  <c:v>48.919998</c:v>
                </c:pt>
                <c:pt idx="1106">
                  <c:v>48.549999</c:v>
                </c:pt>
                <c:pt idx="1107">
                  <c:v>49.040000999999997</c:v>
                </c:pt>
                <c:pt idx="1108">
                  <c:v>50.029998999999997</c:v>
                </c:pt>
                <c:pt idx="1109">
                  <c:v>51.220001000000003</c:v>
                </c:pt>
                <c:pt idx="1110">
                  <c:v>50.939999</c:v>
                </c:pt>
                <c:pt idx="1111">
                  <c:v>50.549999</c:v>
                </c:pt>
                <c:pt idx="1112">
                  <c:v>51.509998000000003</c:v>
                </c:pt>
                <c:pt idx="1113">
                  <c:v>50.669998</c:v>
                </c:pt>
                <c:pt idx="1114">
                  <c:v>50.860000999999997</c:v>
                </c:pt>
                <c:pt idx="1115">
                  <c:v>51.360000999999997</c:v>
                </c:pt>
                <c:pt idx="1116">
                  <c:v>50.75</c:v>
                </c:pt>
                <c:pt idx="1117">
                  <c:v>49.59</c:v>
                </c:pt>
                <c:pt idx="1118">
                  <c:v>48.16</c:v>
                </c:pt>
                <c:pt idx="1119">
                  <c:v>46.290000999999997</c:v>
                </c:pt>
                <c:pt idx="1120">
                  <c:v>46.099997999999999</c:v>
                </c:pt>
                <c:pt idx="1121">
                  <c:v>46.75</c:v>
                </c:pt>
                <c:pt idx="1122">
                  <c:v>45.189999</c:v>
                </c:pt>
                <c:pt idx="1123">
                  <c:v>45.310001</c:v>
                </c:pt>
                <c:pt idx="1124">
                  <c:v>46.16</c:v>
                </c:pt>
                <c:pt idx="1125">
                  <c:v>46.09</c:v>
                </c:pt>
                <c:pt idx="1126">
                  <c:v>46.540000999999997</c:v>
                </c:pt>
                <c:pt idx="1127">
                  <c:v>48</c:v>
                </c:pt>
                <c:pt idx="1128">
                  <c:v>47.880001</c:v>
                </c:pt>
                <c:pt idx="1129">
                  <c:v>46.91</c:v>
                </c:pt>
                <c:pt idx="1130">
                  <c:v>46.860000999999997</c:v>
                </c:pt>
                <c:pt idx="1131">
                  <c:v>46.48</c:v>
                </c:pt>
                <c:pt idx="1132">
                  <c:v>46.93</c:v>
                </c:pt>
                <c:pt idx="1133">
                  <c:v>47.040000999999997</c:v>
                </c:pt>
                <c:pt idx="1134">
                  <c:v>47.16</c:v>
                </c:pt>
                <c:pt idx="1135">
                  <c:v>47.880001</c:v>
                </c:pt>
                <c:pt idx="1136">
                  <c:v>47.849997999999999</c:v>
                </c:pt>
                <c:pt idx="1137">
                  <c:v>47.279998999999997</c:v>
                </c:pt>
                <c:pt idx="1138">
                  <c:v>46.91</c:v>
                </c:pt>
                <c:pt idx="1139">
                  <c:v>46.68</c:v>
                </c:pt>
                <c:pt idx="1140">
                  <c:v>46.540000999999997</c:v>
                </c:pt>
                <c:pt idx="1141">
                  <c:v>47.389999000000003</c:v>
                </c:pt>
                <c:pt idx="1142">
                  <c:v>47.029998999999997</c:v>
                </c:pt>
                <c:pt idx="1143">
                  <c:v>48.369999</c:v>
                </c:pt>
                <c:pt idx="1144">
                  <c:v>48.650002000000001</c:v>
                </c:pt>
                <c:pt idx="1145">
                  <c:v>49.16</c:v>
                </c:pt>
                <c:pt idx="1146">
                  <c:v>48.68</c:v>
                </c:pt>
                <c:pt idx="1147">
                  <c:v>48.790000999999997</c:v>
                </c:pt>
                <c:pt idx="1148">
                  <c:v>48.240001999999997</c:v>
                </c:pt>
                <c:pt idx="1149">
                  <c:v>49.459999000000003</c:v>
                </c:pt>
                <c:pt idx="1150">
                  <c:v>50.040000999999997</c:v>
                </c:pt>
                <c:pt idx="1151">
                  <c:v>50.82</c:v>
                </c:pt>
                <c:pt idx="1152">
                  <c:v>50.669998</c:v>
                </c:pt>
                <c:pt idx="1153">
                  <c:v>50.299999</c:v>
                </c:pt>
                <c:pt idx="1154">
                  <c:v>51.09</c:v>
                </c:pt>
                <c:pt idx="1155">
                  <c:v>51.029998999999997</c:v>
                </c:pt>
                <c:pt idx="1156">
                  <c:v>50.93</c:v>
                </c:pt>
                <c:pt idx="1157">
                  <c:v>50.93</c:v>
                </c:pt>
                <c:pt idx="1158">
                  <c:v>50.700001</c:v>
                </c:pt>
                <c:pt idx="1159">
                  <c:v>51.779998999999997</c:v>
                </c:pt>
                <c:pt idx="1160">
                  <c:v>51.82</c:v>
                </c:pt>
                <c:pt idx="1161">
                  <c:v>52.689999</c:v>
                </c:pt>
                <c:pt idx="1162">
                  <c:v>52.900002000000001</c:v>
                </c:pt>
                <c:pt idx="1163">
                  <c:v>53.040000999999997</c:v>
                </c:pt>
                <c:pt idx="1164">
                  <c:v>52.639999000000003</c:v>
                </c:pt>
                <c:pt idx="1165">
                  <c:v>52.759998000000003</c:v>
                </c:pt>
                <c:pt idx="1166">
                  <c:v>52.080002</c:v>
                </c:pt>
                <c:pt idx="1167">
                  <c:v>50.950001</c:v>
                </c:pt>
                <c:pt idx="1168">
                  <c:v>50.860000999999997</c:v>
                </c:pt>
                <c:pt idx="1169">
                  <c:v>50.990001999999997</c:v>
                </c:pt>
                <c:pt idx="1170">
                  <c:v>51.73</c:v>
                </c:pt>
                <c:pt idx="1171">
                  <c:v>50.040000999999997</c:v>
                </c:pt>
                <c:pt idx="1172">
                  <c:v>49.689999</c:v>
                </c:pt>
                <c:pt idx="1173">
                  <c:v>49.139999000000003</c:v>
                </c:pt>
                <c:pt idx="1174">
                  <c:v>48.759998000000003</c:v>
                </c:pt>
                <c:pt idx="1175">
                  <c:v>48.869999</c:v>
                </c:pt>
                <c:pt idx="1176">
                  <c:v>48.369999</c:v>
                </c:pt>
                <c:pt idx="1177">
                  <c:v>48.150002000000001</c:v>
                </c:pt>
                <c:pt idx="1178">
                  <c:v>49.040000999999997</c:v>
                </c:pt>
                <c:pt idx="1179">
                  <c:v>49.330002</c:v>
                </c:pt>
                <c:pt idx="1180">
                  <c:v>50.130001</c:v>
                </c:pt>
                <c:pt idx="1181">
                  <c:v>50.669998</c:v>
                </c:pt>
                <c:pt idx="1182">
                  <c:v>48.509998000000003</c:v>
                </c:pt>
                <c:pt idx="1183">
                  <c:v>48.669998</c:v>
                </c:pt>
                <c:pt idx="1184">
                  <c:v>48.139999000000003</c:v>
                </c:pt>
                <c:pt idx="1185">
                  <c:v>47.77</c:v>
                </c:pt>
                <c:pt idx="1186">
                  <c:v>47.900002000000001</c:v>
                </c:pt>
                <c:pt idx="1187">
                  <c:v>47.380001</c:v>
                </c:pt>
                <c:pt idx="1188">
                  <c:v>46.580002</c:v>
                </c:pt>
                <c:pt idx="1189">
                  <c:v>46.130001</c:v>
                </c:pt>
                <c:pt idx="1190">
                  <c:v>45.310001</c:v>
                </c:pt>
                <c:pt idx="1191">
                  <c:v>44.860000999999997</c:v>
                </c:pt>
                <c:pt idx="1192">
                  <c:v>44.759998000000003</c:v>
                </c:pt>
                <c:pt idx="1193">
                  <c:v>45.66</c:v>
                </c:pt>
                <c:pt idx="1194">
                  <c:v>44.68</c:v>
                </c:pt>
                <c:pt idx="1195">
                  <c:v>44.110000999999997</c:v>
                </c:pt>
                <c:pt idx="1196">
                  <c:v>45.189999</c:v>
                </c:pt>
                <c:pt idx="1197">
                  <c:v>46.610000999999997</c:v>
                </c:pt>
                <c:pt idx="1198">
                  <c:v>46.509998000000003</c:v>
                </c:pt>
                <c:pt idx="1199">
                  <c:v>46.049999</c:v>
                </c:pt>
                <c:pt idx="1200">
                  <c:v>44.82</c:v>
                </c:pt>
                <c:pt idx="1201">
                  <c:v>44.48</c:v>
                </c:pt>
                <c:pt idx="1202">
                  <c:v>44.209999000000003</c:v>
                </c:pt>
                <c:pt idx="1203">
                  <c:v>44.09</c:v>
                </c:pt>
                <c:pt idx="1204">
                  <c:v>45.23</c:v>
                </c:pt>
                <c:pt idx="1205">
                  <c:v>44.169998</c:v>
                </c:pt>
                <c:pt idx="1206">
                  <c:v>45.310001</c:v>
                </c:pt>
                <c:pt idx="1207">
                  <c:v>45.849997999999999</c:v>
                </c:pt>
                <c:pt idx="1208">
                  <c:v>45.5</c:v>
                </c:pt>
                <c:pt idx="1209">
                  <c:v>45.130001</c:v>
                </c:pt>
                <c:pt idx="1210">
                  <c:v>46.18</c:v>
                </c:pt>
                <c:pt idx="1211">
                  <c:v>46.709999000000003</c:v>
                </c:pt>
                <c:pt idx="1212">
                  <c:v>47.5</c:v>
                </c:pt>
                <c:pt idx="1213">
                  <c:v>47.23</c:v>
                </c:pt>
                <c:pt idx="1214">
                  <c:v>46.990001999999997</c:v>
                </c:pt>
                <c:pt idx="1215">
                  <c:v>48.07</c:v>
                </c:pt>
                <c:pt idx="1216">
                  <c:v>47.73</c:v>
                </c:pt>
                <c:pt idx="1217">
                  <c:v>47.59</c:v>
                </c:pt>
                <c:pt idx="1218">
                  <c:v>46.380001</c:v>
                </c:pt>
                <c:pt idx="1219">
                  <c:v>45.880001</c:v>
                </c:pt>
                <c:pt idx="1220">
                  <c:v>46.580002</c:v>
                </c:pt>
                <c:pt idx="1221">
                  <c:v>47.049999</c:v>
                </c:pt>
                <c:pt idx="1222">
                  <c:v>47.27</c:v>
                </c:pt>
                <c:pt idx="1223">
                  <c:v>46.299999</c:v>
                </c:pt>
                <c:pt idx="1224">
                  <c:v>48.860000999999997</c:v>
                </c:pt>
                <c:pt idx="1225">
                  <c:v>49.279998999999997</c:v>
                </c:pt>
                <c:pt idx="1226">
                  <c:v>48.860000999999997</c:v>
                </c:pt>
                <c:pt idx="1227">
                  <c:v>49.330002</c:v>
                </c:pt>
                <c:pt idx="1228">
                  <c:v>48.889999000000003</c:v>
                </c:pt>
                <c:pt idx="1229">
                  <c:v>48.740001999999997</c:v>
                </c:pt>
                <c:pt idx="1230">
                  <c:v>49.009998000000003</c:v>
                </c:pt>
                <c:pt idx="1231">
                  <c:v>48.799999</c:v>
                </c:pt>
                <c:pt idx="1232">
                  <c:v>49.490001999999997</c:v>
                </c:pt>
                <c:pt idx="1233">
                  <c:v>49.740001999999997</c:v>
                </c:pt>
                <c:pt idx="1234">
                  <c:v>49.759998000000003</c:v>
                </c:pt>
                <c:pt idx="1235">
                  <c:v>48.990001999999997</c:v>
                </c:pt>
                <c:pt idx="1236">
                  <c:v>48.889999000000003</c:v>
                </c:pt>
                <c:pt idx="1237">
                  <c:v>50.380001</c:v>
                </c:pt>
                <c:pt idx="1238">
                  <c:v>50.41</c:v>
                </c:pt>
                <c:pt idx="1239">
                  <c:v>50.34</c:v>
                </c:pt>
                <c:pt idx="1240">
                  <c:v>49.369999</c:v>
                </c:pt>
                <c:pt idx="1241">
                  <c:v>48.709999000000003</c:v>
                </c:pt>
                <c:pt idx="1242">
                  <c:v>48.599997999999999</c:v>
                </c:pt>
                <c:pt idx="1243">
                  <c:v>48.990001999999997</c:v>
                </c:pt>
                <c:pt idx="1244">
                  <c:v>48.619999</c:v>
                </c:pt>
                <c:pt idx="1245">
                  <c:v>49.259998000000003</c:v>
                </c:pt>
                <c:pt idx="1246">
                  <c:v>49.639999000000003</c:v>
                </c:pt>
                <c:pt idx="1247">
                  <c:v>49.360000999999997</c:v>
                </c:pt>
                <c:pt idx="1248">
                  <c:v>48.119999</c:v>
                </c:pt>
                <c:pt idx="1249">
                  <c:v>47.549999</c:v>
                </c:pt>
                <c:pt idx="1250">
                  <c:v>46.919998</c:v>
                </c:pt>
                <c:pt idx="1251">
                  <c:v>47</c:v>
                </c:pt>
                <c:pt idx="1252">
                  <c:v>47.720001000000003</c:v>
                </c:pt>
                <c:pt idx="1253">
                  <c:v>47.07</c:v>
                </c:pt>
                <c:pt idx="1254">
                  <c:v>47.349997999999999</c:v>
                </c:pt>
                <c:pt idx="1255">
                  <c:v>47.169998</c:v>
                </c:pt>
                <c:pt idx="1256">
                  <c:v>46.529998999999997</c:v>
                </c:pt>
                <c:pt idx="1257">
                  <c:v>47.419998</c:v>
                </c:pt>
                <c:pt idx="1258">
                  <c:v>47.290000999999997</c:v>
                </c:pt>
                <c:pt idx="1259">
                  <c:v>47.110000999999997</c:v>
                </c:pt>
                <c:pt idx="1260">
                  <c:v>47.5</c:v>
                </c:pt>
                <c:pt idx="1261">
                  <c:v>46.970001000000003</c:v>
                </c:pt>
                <c:pt idx="1262">
                  <c:v>48.009998000000003</c:v>
                </c:pt>
                <c:pt idx="1263">
                  <c:v>47.990001999999997</c:v>
                </c:pt>
                <c:pt idx="1264">
                  <c:v>48.369999</c:v>
                </c:pt>
                <c:pt idx="1265">
                  <c:v>48.98</c:v>
                </c:pt>
                <c:pt idx="1266">
                  <c:v>49.130001</c:v>
                </c:pt>
                <c:pt idx="1267">
                  <c:v>49.369999</c:v>
                </c:pt>
                <c:pt idx="1268">
                  <c:v>49.279998999999997</c:v>
                </c:pt>
                <c:pt idx="1269">
                  <c:v>48.529998999999997</c:v>
                </c:pt>
                <c:pt idx="1270">
                  <c:v>48.150002000000001</c:v>
                </c:pt>
                <c:pt idx="1271">
                  <c:v>49.040000999999997</c:v>
                </c:pt>
                <c:pt idx="1272">
                  <c:v>49.599997999999999</c:v>
                </c:pt>
                <c:pt idx="1273">
                  <c:v>49.540000999999997</c:v>
                </c:pt>
                <c:pt idx="1274">
                  <c:v>49.57</c:v>
                </c:pt>
                <c:pt idx="1275">
                  <c:v>50.139999000000003</c:v>
                </c:pt>
                <c:pt idx="1276">
                  <c:v>50.240001999999997</c:v>
                </c:pt>
                <c:pt idx="1277">
                  <c:v>49.599997999999999</c:v>
                </c:pt>
                <c:pt idx="1278">
                  <c:v>50.360000999999997</c:v>
                </c:pt>
                <c:pt idx="1279">
                  <c:v>50.91</c:v>
                </c:pt>
                <c:pt idx="1280">
                  <c:v>51.650002000000001</c:v>
                </c:pt>
                <c:pt idx="1281">
                  <c:v>51.189999</c:v>
                </c:pt>
                <c:pt idx="1282">
                  <c:v>50.84</c:v>
                </c:pt>
                <c:pt idx="1283">
                  <c:v>51.470001000000003</c:v>
                </c:pt>
                <c:pt idx="1284">
                  <c:v>50.869999</c:v>
                </c:pt>
                <c:pt idx="1285">
                  <c:v>50.419998</c:v>
                </c:pt>
                <c:pt idx="1286">
                  <c:v>50.560001</c:v>
                </c:pt>
                <c:pt idx="1287">
                  <c:v>51.150002000000001</c:v>
                </c:pt>
                <c:pt idx="1288">
                  <c:v>51.099997999999999</c:v>
                </c:pt>
                <c:pt idx="1289">
                  <c:v>51.310001</c:v>
                </c:pt>
                <c:pt idx="1290">
                  <c:v>50.610000999999997</c:v>
                </c:pt>
                <c:pt idx="1291">
                  <c:v>50.52</c:v>
                </c:pt>
                <c:pt idx="1292">
                  <c:v>49.470001000000003</c:v>
                </c:pt>
                <c:pt idx="1293">
                  <c:v>49.400002000000001</c:v>
                </c:pt>
                <c:pt idx="1294">
                  <c:v>49.650002000000001</c:v>
                </c:pt>
                <c:pt idx="1295">
                  <c:v>49.150002000000001</c:v>
                </c:pt>
                <c:pt idx="1296">
                  <c:v>49.299999</c:v>
                </c:pt>
                <c:pt idx="1297">
                  <c:v>49.18</c:v>
                </c:pt>
                <c:pt idx="1298">
                  <c:v>48.990001999999997</c:v>
                </c:pt>
                <c:pt idx="1299">
                  <c:v>49.360000999999997</c:v>
                </c:pt>
                <c:pt idx="1300">
                  <c:v>50.16</c:v>
                </c:pt>
                <c:pt idx="1301">
                  <c:v>50.099997999999999</c:v>
                </c:pt>
                <c:pt idx="1302">
                  <c:v>49.360000999999997</c:v>
                </c:pt>
                <c:pt idx="1303">
                  <c:v>49.43</c:v>
                </c:pt>
                <c:pt idx="1304">
                  <c:v>48.48</c:v>
                </c:pt>
                <c:pt idx="1305">
                  <c:v>47.759998000000003</c:v>
                </c:pt>
                <c:pt idx="1306">
                  <c:v>47.560001</c:v>
                </c:pt>
                <c:pt idx="1307">
                  <c:v>48.41</c:v>
                </c:pt>
                <c:pt idx="1308">
                  <c:v>48.029998999999997</c:v>
                </c:pt>
                <c:pt idx="1309">
                  <c:v>48.849997999999999</c:v>
                </c:pt>
                <c:pt idx="1310">
                  <c:v>48.200001</c:v>
                </c:pt>
                <c:pt idx="1311">
                  <c:v>48.490001999999997</c:v>
                </c:pt>
                <c:pt idx="1312">
                  <c:v>49.189999</c:v>
                </c:pt>
                <c:pt idx="1313">
                  <c:v>48.310001</c:v>
                </c:pt>
                <c:pt idx="1314">
                  <c:v>48.439999</c:v>
                </c:pt>
                <c:pt idx="1315">
                  <c:v>48.759998000000003</c:v>
                </c:pt>
                <c:pt idx="1316">
                  <c:v>48.849997999999999</c:v>
                </c:pt>
                <c:pt idx="1317">
                  <c:v>48.799999</c:v>
                </c:pt>
                <c:pt idx="1318">
                  <c:v>49.470001000000003</c:v>
                </c:pt>
                <c:pt idx="1319">
                  <c:v>49.75</c:v>
                </c:pt>
                <c:pt idx="1320">
                  <c:v>50.43</c:v>
                </c:pt>
                <c:pt idx="1321">
                  <c:v>50.610000999999997</c:v>
                </c:pt>
                <c:pt idx="1322">
                  <c:v>50.299999</c:v>
                </c:pt>
                <c:pt idx="1323">
                  <c:v>50.139999000000003</c:v>
                </c:pt>
                <c:pt idx="1324">
                  <c:v>50.310001</c:v>
                </c:pt>
                <c:pt idx="1325">
                  <c:v>50.41</c:v>
                </c:pt>
                <c:pt idx="1326">
                  <c:v>50.43</c:v>
                </c:pt>
                <c:pt idx="1327">
                  <c:v>50.259998000000003</c:v>
                </c:pt>
                <c:pt idx="1328">
                  <c:v>50.900002000000001</c:v>
                </c:pt>
                <c:pt idx="1329">
                  <c:v>50.790000999999997</c:v>
                </c:pt>
                <c:pt idx="1330">
                  <c:v>50.939999</c:v>
                </c:pt>
                <c:pt idx="1331">
                  <c:v>50.990001999999997</c:v>
                </c:pt>
                <c:pt idx="1332">
                  <c:v>50.98</c:v>
                </c:pt>
                <c:pt idx="1333">
                  <c:v>50.68</c:v>
                </c:pt>
                <c:pt idx="1334">
                  <c:v>50.740001999999997</c:v>
                </c:pt>
                <c:pt idx="1335">
                  <c:v>50.779998999999997</c:v>
                </c:pt>
                <c:pt idx="1336">
                  <c:v>49.959999000000003</c:v>
                </c:pt>
                <c:pt idx="1337">
                  <c:v>49.75</c:v>
                </c:pt>
                <c:pt idx="1338">
                  <c:v>50.720001000000003</c:v>
                </c:pt>
                <c:pt idx="1339">
                  <c:v>51.139999000000003</c:v>
                </c:pt>
                <c:pt idx="1340">
                  <c:v>51.110000999999997</c:v>
                </c:pt>
                <c:pt idx="1341">
                  <c:v>50.509998000000003</c:v>
                </c:pt>
                <c:pt idx="1342">
                  <c:v>50.209999000000003</c:v>
                </c:pt>
                <c:pt idx="1343">
                  <c:v>49.799999</c:v>
                </c:pt>
                <c:pt idx="1344">
                  <c:v>50.740001999999997</c:v>
                </c:pt>
                <c:pt idx="1345">
                  <c:v>50.759998000000003</c:v>
                </c:pt>
                <c:pt idx="1346">
                  <c:v>50.529998999999997</c:v>
                </c:pt>
                <c:pt idx="1347">
                  <c:v>50.700001</c:v>
                </c:pt>
                <c:pt idx="1348">
                  <c:v>50.630001</c:v>
                </c:pt>
                <c:pt idx="1349">
                  <c:v>50.599997999999999</c:v>
                </c:pt>
                <c:pt idx="1350">
                  <c:v>50.759998000000003</c:v>
                </c:pt>
                <c:pt idx="1351">
                  <c:v>50.360000999999997</c:v>
                </c:pt>
                <c:pt idx="1352">
                  <c:v>51.009998000000003</c:v>
                </c:pt>
                <c:pt idx="1353">
                  <c:v>51.529998999999997</c:v>
                </c:pt>
                <c:pt idx="1354">
                  <c:v>51.43</c:v>
                </c:pt>
                <c:pt idx="1355">
                  <c:v>51.439999</c:v>
                </c:pt>
                <c:pt idx="1356">
                  <c:v>50.900002000000001</c:v>
                </c:pt>
                <c:pt idx="1357">
                  <c:v>50.5</c:v>
                </c:pt>
                <c:pt idx="1358">
                  <c:v>50.93</c:v>
                </c:pt>
                <c:pt idx="1359">
                  <c:v>51.560001</c:v>
                </c:pt>
                <c:pt idx="1360">
                  <c:v>51.59</c:v>
                </c:pt>
                <c:pt idx="1361">
                  <c:v>51.27</c:v>
                </c:pt>
                <c:pt idx="1362">
                  <c:v>51.709999000000003</c:v>
                </c:pt>
                <c:pt idx="1363">
                  <c:v>52.529998999999997</c:v>
                </c:pt>
                <c:pt idx="1364">
                  <c:v>52.43</c:v>
                </c:pt>
                <c:pt idx="1365">
                  <c:v>52.630001</c:v>
                </c:pt>
                <c:pt idx="1366">
                  <c:v>52.509998000000003</c:v>
                </c:pt>
                <c:pt idx="1367">
                  <c:v>52.82</c:v>
                </c:pt>
                <c:pt idx="1368">
                  <c:v>52.860000999999997</c:v>
                </c:pt>
                <c:pt idx="1369">
                  <c:v>53.32</c:v>
                </c:pt>
                <c:pt idx="1370">
                  <c:v>53.650002000000001</c:v>
                </c:pt>
                <c:pt idx="1371">
                  <c:v>53.689999</c:v>
                </c:pt>
                <c:pt idx="1372">
                  <c:v>54.330002</c:v>
                </c:pt>
                <c:pt idx="1373">
                  <c:v>54.150002000000001</c:v>
                </c:pt>
                <c:pt idx="1374">
                  <c:v>53.700001</c:v>
                </c:pt>
                <c:pt idx="1375">
                  <c:v>53.400002000000001</c:v>
                </c:pt>
                <c:pt idx="1376">
                  <c:v>53.599997999999999</c:v>
                </c:pt>
                <c:pt idx="1377">
                  <c:v>53.169998</c:v>
                </c:pt>
                <c:pt idx="1378">
                  <c:v>52.98</c:v>
                </c:pt>
                <c:pt idx="1379">
                  <c:v>53.560001</c:v>
                </c:pt>
                <c:pt idx="1380">
                  <c:v>53.599997999999999</c:v>
                </c:pt>
                <c:pt idx="1381">
                  <c:v>53.880001</c:v>
                </c:pt>
                <c:pt idx="1382">
                  <c:v>54.439999</c:v>
                </c:pt>
                <c:pt idx="1383">
                  <c:v>54.57</c:v>
                </c:pt>
                <c:pt idx="1384">
                  <c:v>54.400002000000001</c:v>
                </c:pt>
                <c:pt idx="1385">
                  <c:v>53.990001999999997</c:v>
                </c:pt>
                <c:pt idx="1386">
                  <c:v>53.869999</c:v>
                </c:pt>
                <c:pt idx="1387">
                  <c:v>54.080002</c:v>
                </c:pt>
                <c:pt idx="1388">
                  <c:v>54.450001</c:v>
                </c:pt>
                <c:pt idx="1389">
                  <c:v>54.849997999999999</c:v>
                </c:pt>
                <c:pt idx="1390">
                  <c:v>55.310001</c:v>
                </c:pt>
                <c:pt idx="1391">
                  <c:v>55.23</c:v>
                </c:pt>
                <c:pt idx="1392">
                  <c:v>55.419998</c:v>
                </c:pt>
                <c:pt idx="1393">
                  <c:v>55.84</c:v>
                </c:pt>
                <c:pt idx="1394">
                  <c:v>56.02</c:v>
                </c:pt>
                <c:pt idx="1395">
                  <c:v>55.639999000000003</c:v>
                </c:pt>
                <c:pt idx="1396">
                  <c:v>55.639999000000003</c:v>
                </c:pt>
                <c:pt idx="1397">
                  <c:v>55.869999</c:v>
                </c:pt>
                <c:pt idx="1398">
                  <c:v>56.02</c:v>
                </c:pt>
                <c:pt idx="1399">
                  <c:v>56.029998999999997</c:v>
                </c:pt>
                <c:pt idx="1400">
                  <c:v>55.610000999999997</c:v>
                </c:pt>
                <c:pt idx="1401">
                  <c:v>56.18</c:v>
                </c:pt>
                <c:pt idx="1402">
                  <c:v>56.310001</c:v>
                </c:pt>
                <c:pt idx="1403">
                  <c:v>56.150002000000001</c:v>
                </c:pt>
                <c:pt idx="1404">
                  <c:v>55.400002000000001</c:v>
                </c:pt>
                <c:pt idx="1405">
                  <c:v>55.23</c:v>
                </c:pt>
                <c:pt idx="1406">
                  <c:v>55.009998000000003</c:v>
                </c:pt>
                <c:pt idx="1407">
                  <c:v>55.450001</c:v>
                </c:pt>
                <c:pt idx="1408">
                  <c:v>55.189999</c:v>
                </c:pt>
                <c:pt idx="1409">
                  <c:v>54.82</c:v>
                </c:pt>
                <c:pt idx="1410">
                  <c:v>54.860000999999997</c:v>
                </c:pt>
                <c:pt idx="1411">
                  <c:v>54.799999</c:v>
                </c:pt>
                <c:pt idx="1412">
                  <c:v>55.080002</c:v>
                </c:pt>
                <c:pt idx="1413">
                  <c:v>54.459999000000003</c:v>
                </c:pt>
                <c:pt idx="1414">
                  <c:v>54.049999</c:v>
                </c:pt>
                <c:pt idx="1415">
                  <c:v>53.59</c:v>
                </c:pt>
                <c:pt idx="1416">
                  <c:v>53.630001</c:v>
                </c:pt>
                <c:pt idx="1417">
                  <c:v>53.950001</c:v>
                </c:pt>
                <c:pt idx="1418">
                  <c:v>53.799999</c:v>
                </c:pt>
                <c:pt idx="1419">
                  <c:v>54.41</c:v>
                </c:pt>
                <c:pt idx="1420">
                  <c:v>53.689999</c:v>
                </c:pt>
                <c:pt idx="1421">
                  <c:v>54.02</c:v>
                </c:pt>
                <c:pt idx="1422">
                  <c:v>54.419998</c:v>
                </c:pt>
                <c:pt idx="1423">
                  <c:v>55.200001</c:v>
                </c:pt>
                <c:pt idx="1424">
                  <c:v>55.380001</c:v>
                </c:pt>
                <c:pt idx="1425">
                  <c:v>55.349997999999999</c:v>
                </c:pt>
              </c:numCache>
            </c:numRef>
          </c:val>
          <c:smooth val="0"/>
          <c:extLst>
            <c:ext xmlns:c16="http://schemas.microsoft.com/office/drawing/2014/chart" uri="{C3380CC4-5D6E-409C-BE32-E72D297353CC}">
              <c16:uniqueId val="{00000001-634A-475D-87F0-94537325C354}"/>
            </c:ext>
          </c:extLst>
        </c:ser>
        <c:dLbls>
          <c:showLegendKey val="0"/>
          <c:showVal val="0"/>
          <c:showCatName val="0"/>
          <c:showSerName val="0"/>
          <c:showPercent val="0"/>
          <c:showBubbleSize val="0"/>
        </c:dLbls>
        <c:smooth val="0"/>
        <c:axId val="1442586416"/>
        <c:axId val="1868472640"/>
      </c:lineChart>
      <c:dateAx>
        <c:axId val="1442586416"/>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crossAx val="1868472640"/>
        <c:crosses val="autoZero"/>
        <c:auto val="1"/>
        <c:lblOffset val="100"/>
        <c:baseTimeUnit val="days"/>
        <c:majorUnit val="6"/>
        <c:majorTimeUnit val="months"/>
        <c:minorUnit val="6"/>
        <c:minorTimeUnit val="months"/>
      </c:dateAx>
      <c:valAx>
        <c:axId val="18684726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crossAx val="1442586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Book Antiqua" panose="02040602050305030304"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ook Antiqua" panose="02040602050305030304" pitchFamily="18" charset="0"/>
                <a:ea typeface="+mn-ea"/>
                <a:cs typeface="+mn-cs"/>
              </a:defRPr>
            </a:pPr>
            <a:r>
              <a:rPr lang="en-US">
                <a:solidFill>
                  <a:schemeClr val="tx1"/>
                </a:solidFill>
              </a:rPr>
              <a:t>BLDR Valuation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ook Antiqua" panose="02040602050305030304" pitchFamily="18" charset="0"/>
              <a:ea typeface="+mn-ea"/>
              <a:cs typeface="+mn-cs"/>
            </a:defRPr>
          </a:pPr>
          <a:endParaRPr lang="en-US"/>
        </a:p>
      </c:txPr>
    </c:title>
    <c:autoTitleDeleted val="0"/>
    <c:plotArea>
      <c:layout>
        <c:manualLayout>
          <c:layoutTarget val="inner"/>
          <c:xMode val="edge"/>
          <c:yMode val="edge"/>
          <c:x val="0.10055236293687275"/>
          <c:y val="0.19433585184741364"/>
          <c:w val="0.89944763706312725"/>
          <c:h val="0.72109823720858213"/>
        </c:manualLayout>
      </c:layout>
      <c:barChart>
        <c:barDir val="col"/>
        <c:grouping val="stacked"/>
        <c:varyColors val="0"/>
        <c:ser>
          <c:idx val="0"/>
          <c:order val="0"/>
          <c:spPr>
            <a:noFill/>
            <a:ln>
              <a:noFill/>
            </a:ln>
            <a:effectLst/>
          </c:spPr>
          <c:invertIfNegative val="0"/>
          <c:dLbls>
            <c:dLbl>
              <c:idx val="1"/>
              <c:layout>
                <c:manualLayout>
                  <c:x val="0"/>
                  <c:y val="-8.59047918289727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36-427A-9969-4525827BBBFE}"/>
                </c:ext>
              </c:extLst>
            </c:dLbl>
            <c:dLbl>
              <c:idx val="2"/>
              <c:layout>
                <c:manualLayout>
                  <c:x val="0"/>
                  <c:y val="-2.614909097285569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ook Antiqua" panose="02040602050305030304" pitchFamily="18"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3773484219632928E-2"/>
                      <c:h val="8.6370846958941511E-2"/>
                    </c:manualLayout>
                  </c15:layout>
                </c:ext>
                <c:ext xmlns:c16="http://schemas.microsoft.com/office/drawing/2014/chart" uri="{C3380CC4-5D6E-409C-BE32-E72D297353CC}">
                  <c16:uniqueId val="{00000008-C336-4D4A-AD4B-8F3F7BD83D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ook Antiqua" panose="02040602050305030304" pitchFamily="18"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Summary!$L$7:$O$7</c:f>
              <c:strCache>
                <c:ptCount val="4"/>
                <c:pt idx="0">
                  <c:v>52-Week Trading Range</c:v>
                </c:pt>
                <c:pt idx="1">
                  <c:v>Discounted Cash Flow</c:v>
                </c:pt>
                <c:pt idx="2">
                  <c:v>Historical Valuation</c:v>
                </c:pt>
                <c:pt idx="3">
                  <c:v>Comparable Valuation</c:v>
                </c:pt>
              </c:strCache>
            </c:strRef>
          </c:cat>
          <c:val>
            <c:numRef>
              <c:f>Summary!$L$8:$O$8</c:f>
              <c:numCache>
                <c:formatCode>"$"#,##0.00</c:formatCode>
                <c:ptCount val="4"/>
                <c:pt idx="0">
                  <c:v>53.79</c:v>
                </c:pt>
                <c:pt idx="1">
                  <c:v>154.21649441859682</c:v>
                </c:pt>
                <c:pt idx="2">
                  <c:v>115.30691148213144</c:v>
                </c:pt>
                <c:pt idx="3">
                  <c:v>195.15202183006505</c:v>
                </c:pt>
              </c:numCache>
            </c:numRef>
          </c:val>
          <c:extLst>
            <c:ext xmlns:c16="http://schemas.microsoft.com/office/drawing/2014/chart" uri="{C3380CC4-5D6E-409C-BE32-E72D297353CC}">
              <c16:uniqueId val="{00000001-EE36-427A-9969-4525827BBBFE}"/>
            </c:ext>
          </c:extLst>
        </c:ser>
        <c:ser>
          <c:idx val="1"/>
          <c:order val="1"/>
          <c:spPr>
            <a:solidFill>
              <a:srgbClr val="006B3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0-365F-4D98-A59C-60583156613D}"/>
              </c:ext>
            </c:extLst>
          </c:dPt>
          <c:dPt>
            <c:idx val="1"/>
            <c:invertIfNegative val="0"/>
            <c:bubble3D val="0"/>
            <c:spPr>
              <a:solidFill>
                <a:srgbClr val="002060"/>
              </a:solidFill>
              <a:ln>
                <a:noFill/>
              </a:ln>
              <a:effectLst/>
            </c:spPr>
            <c:extLst>
              <c:ext xmlns:c16="http://schemas.microsoft.com/office/drawing/2014/chart" uri="{C3380CC4-5D6E-409C-BE32-E72D297353CC}">
                <c16:uniqueId val="{00000001-365F-4D98-A59C-60583156613D}"/>
              </c:ext>
            </c:extLst>
          </c:dPt>
          <c:dPt>
            <c:idx val="2"/>
            <c:invertIfNegative val="0"/>
            <c:bubble3D val="0"/>
            <c:spPr>
              <a:solidFill>
                <a:srgbClr val="002060"/>
              </a:solidFill>
              <a:ln>
                <a:noFill/>
              </a:ln>
              <a:effectLst/>
            </c:spPr>
            <c:extLst>
              <c:ext xmlns:c16="http://schemas.microsoft.com/office/drawing/2014/chart" uri="{C3380CC4-5D6E-409C-BE32-E72D297353CC}">
                <c16:uniqueId val="{00000002-365F-4D98-A59C-60583156613D}"/>
              </c:ext>
            </c:extLst>
          </c:dPt>
          <c:dPt>
            <c:idx val="3"/>
            <c:invertIfNegative val="0"/>
            <c:bubble3D val="0"/>
            <c:spPr>
              <a:solidFill>
                <a:srgbClr val="002060"/>
              </a:solidFill>
              <a:ln>
                <a:noFill/>
              </a:ln>
              <a:effectLst/>
            </c:spPr>
            <c:extLst>
              <c:ext xmlns:c16="http://schemas.microsoft.com/office/drawing/2014/chart" uri="{C3380CC4-5D6E-409C-BE32-E72D297353CC}">
                <c16:uniqueId val="{00000003-365F-4D98-A59C-60583156613D}"/>
              </c:ext>
            </c:extLst>
          </c:dPt>
          <c:cat>
            <c:strRef>
              <c:f>Summary!$L$7:$O$7</c:f>
              <c:strCache>
                <c:ptCount val="4"/>
                <c:pt idx="0">
                  <c:v>52-Week Trading Range</c:v>
                </c:pt>
                <c:pt idx="1">
                  <c:v>Discounted Cash Flow</c:v>
                </c:pt>
                <c:pt idx="2">
                  <c:v>Historical Valuation</c:v>
                </c:pt>
                <c:pt idx="3">
                  <c:v>Comparable Valuation</c:v>
                </c:pt>
              </c:strCache>
            </c:strRef>
          </c:cat>
          <c:val>
            <c:numRef>
              <c:f>Summary!$L$9:$O$9</c:f>
              <c:numCache>
                <c:formatCode>"$"#,##0.00</c:formatCode>
                <c:ptCount val="4"/>
                <c:pt idx="0">
                  <c:v>103.06</c:v>
                </c:pt>
                <c:pt idx="1">
                  <c:v>46.25685544339612</c:v>
                </c:pt>
                <c:pt idx="2">
                  <c:v>288.54382480738428</c:v>
                </c:pt>
                <c:pt idx="3">
                  <c:v>68.678301682110373</c:v>
                </c:pt>
              </c:numCache>
            </c:numRef>
          </c:val>
          <c:extLst>
            <c:ext xmlns:c16="http://schemas.microsoft.com/office/drawing/2014/chart" uri="{C3380CC4-5D6E-409C-BE32-E72D297353CC}">
              <c16:uniqueId val="{00000002-EE36-427A-9969-4525827BBBFE}"/>
            </c:ext>
          </c:extLst>
        </c:ser>
        <c:ser>
          <c:idx val="2"/>
          <c:order val="2"/>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ook Antiqua" panose="02040602050305030304" pitchFamily="18"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Summary!$L$7:$O$7</c:f>
              <c:strCache>
                <c:ptCount val="4"/>
                <c:pt idx="0">
                  <c:v>52-Week Trading Range</c:v>
                </c:pt>
                <c:pt idx="1">
                  <c:v>Discounted Cash Flow</c:v>
                </c:pt>
                <c:pt idx="2">
                  <c:v>Historical Valuation</c:v>
                </c:pt>
                <c:pt idx="3">
                  <c:v>Comparable Valuation</c:v>
                </c:pt>
              </c:strCache>
            </c:strRef>
          </c:cat>
          <c:val>
            <c:numRef>
              <c:f>Summary!$L$10:$O$10</c:f>
              <c:numCache>
                <c:formatCode>"$"#,##0.00</c:formatCode>
                <c:ptCount val="4"/>
                <c:pt idx="0">
                  <c:v>156.85</c:v>
                </c:pt>
                <c:pt idx="1">
                  <c:v>200.47334986199294</c:v>
                </c:pt>
                <c:pt idx="2">
                  <c:v>403.85073628951574</c:v>
                </c:pt>
                <c:pt idx="3">
                  <c:v>263.83032351217543</c:v>
                </c:pt>
              </c:numCache>
            </c:numRef>
          </c:val>
          <c:extLst>
            <c:ext xmlns:c16="http://schemas.microsoft.com/office/drawing/2014/chart" uri="{C3380CC4-5D6E-409C-BE32-E72D297353CC}">
              <c16:uniqueId val="{00000003-EE36-427A-9969-4525827BBBFE}"/>
            </c:ext>
          </c:extLst>
        </c:ser>
        <c:dLbls>
          <c:showLegendKey val="0"/>
          <c:showVal val="0"/>
          <c:showCatName val="0"/>
          <c:showSerName val="0"/>
          <c:showPercent val="0"/>
          <c:showBubbleSize val="0"/>
        </c:dLbls>
        <c:gapWidth val="150"/>
        <c:overlap val="100"/>
        <c:axId val="274155279"/>
        <c:axId val="69638671"/>
      </c:barChart>
      <c:catAx>
        <c:axId val="27415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ook Antiqua" panose="02040602050305030304" pitchFamily="18" charset="0"/>
                <a:ea typeface="+mn-ea"/>
                <a:cs typeface="+mn-cs"/>
              </a:defRPr>
            </a:pPr>
            <a:endParaRPr lang="en-US"/>
          </a:p>
        </c:txPr>
        <c:crossAx val="69638671"/>
        <c:crosses val="autoZero"/>
        <c:auto val="1"/>
        <c:lblAlgn val="ctr"/>
        <c:lblOffset val="100"/>
        <c:noMultiLvlLbl val="0"/>
      </c:catAx>
      <c:valAx>
        <c:axId val="69638671"/>
        <c:scaling>
          <c:orientation val="minMax"/>
          <c:max val="425"/>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ook Antiqua" panose="02040602050305030304" pitchFamily="18" charset="0"/>
                <a:ea typeface="+mn-ea"/>
                <a:cs typeface="+mn-cs"/>
              </a:defRPr>
            </a:pPr>
            <a:endParaRPr lang="en-US"/>
          </a:p>
        </c:txPr>
        <c:crossAx val="274155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ook Antiqua" panose="0204060205030503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ysClr val="windowText" lastClr="000000"/>
                </a:solidFill>
                <a:latin typeface="Book Antiqua" panose="02040602050305030304" pitchFamily="18" charset="0"/>
              </a:rPr>
              <a:t>P/E (2018A - 2027E)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'Historical Valuation'!$B$5:$D$5</c:f>
              <c:strCache>
                <c:ptCount val="3"/>
                <c:pt idx="0">
                  <c:v>P/E</c:v>
                </c:pt>
              </c:strCache>
            </c:strRef>
          </c:tx>
          <c:spPr>
            <a:solidFill>
              <a:srgbClr val="002060"/>
            </a:solidFill>
            <a:ln>
              <a:noFill/>
            </a:ln>
            <a:effectLst/>
          </c:spPr>
          <c:invertIfNegative val="0"/>
          <c:cat>
            <c:strRef>
              <c:f>'Historical Valuation'!$E$4:$O$4</c:f>
              <c:strCache>
                <c:ptCount val="11"/>
                <c:pt idx="0">
                  <c:v>2018A</c:v>
                </c:pt>
                <c:pt idx="1">
                  <c:v>2019A</c:v>
                </c:pt>
                <c:pt idx="2">
                  <c:v>2020A</c:v>
                </c:pt>
                <c:pt idx="3">
                  <c:v>2021A</c:v>
                </c:pt>
                <c:pt idx="4">
                  <c:v>2022A</c:v>
                </c:pt>
                <c:pt idx="5">
                  <c:v>TTM</c:v>
                </c:pt>
                <c:pt idx="6">
                  <c:v>2023E</c:v>
                </c:pt>
                <c:pt idx="7">
                  <c:v>2024E</c:v>
                </c:pt>
                <c:pt idx="8">
                  <c:v>2025E</c:v>
                </c:pt>
                <c:pt idx="9">
                  <c:v>2026E</c:v>
                </c:pt>
                <c:pt idx="10">
                  <c:v>2027E</c:v>
                </c:pt>
              </c:strCache>
            </c:strRef>
          </c:cat>
          <c:val>
            <c:numRef>
              <c:f>'Historical Valuation'!$E$5:$O$5</c:f>
              <c:numCache>
                <c:formatCode>0.00\x</c:formatCode>
                <c:ptCount val="11"/>
                <c:pt idx="0">
                  <c:v>12.498661625832099</c:v>
                </c:pt>
                <c:pt idx="1">
                  <c:v>5.7527848988360839</c:v>
                </c:pt>
                <c:pt idx="2">
                  <c:v>9.5502441733132244</c:v>
                </c:pt>
                <c:pt idx="3">
                  <c:v>4.6992830073734435</c:v>
                </c:pt>
                <c:pt idx="4">
                  <c:v>4.9644221503326769</c:v>
                </c:pt>
                <c:pt idx="5">
                  <c:v>9.6119148597882624</c:v>
                </c:pt>
                <c:pt idx="6">
                  <c:v>11.908453307774106</c:v>
                </c:pt>
                <c:pt idx="7">
                  <c:v>17.490195265914977</c:v>
                </c:pt>
                <c:pt idx="8">
                  <c:v>15.529577358963268</c:v>
                </c:pt>
                <c:pt idx="9">
                  <c:v>12.940342513257491</c:v>
                </c:pt>
                <c:pt idx="10">
                  <c:v>12.877677558667028</c:v>
                </c:pt>
              </c:numCache>
            </c:numRef>
          </c:val>
          <c:extLst>
            <c:ext xmlns:c16="http://schemas.microsoft.com/office/drawing/2014/chart" uri="{C3380CC4-5D6E-409C-BE32-E72D297353CC}">
              <c16:uniqueId val="{00000000-39E0-41DA-8D5C-B24579901543}"/>
            </c:ext>
          </c:extLst>
        </c:ser>
        <c:dLbls>
          <c:showLegendKey val="0"/>
          <c:showVal val="0"/>
          <c:showCatName val="0"/>
          <c:showSerName val="0"/>
          <c:showPercent val="0"/>
          <c:showBubbleSize val="0"/>
        </c:dLbls>
        <c:gapWidth val="150"/>
        <c:overlap val="100"/>
        <c:axId val="228777424"/>
        <c:axId val="228777904"/>
      </c:barChart>
      <c:catAx>
        <c:axId val="22877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77904"/>
        <c:crosses val="autoZero"/>
        <c:auto val="1"/>
        <c:lblAlgn val="ctr"/>
        <c:lblOffset val="100"/>
        <c:noMultiLvlLbl val="0"/>
      </c:catAx>
      <c:valAx>
        <c:axId val="228777904"/>
        <c:scaling>
          <c:orientation val="minMax"/>
        </c:scaling>
        <c:delete val="0"/>
        <c:axPos val="l"/>
        <c:majorGridlines>
          <c:spPr>
            <a:ln w="9525" cap="flat" cmpd="sng" algn="ctr">
              <a:solidFill>
                <a:schemeClr val="tx1">
                  <a:lumMod val="15000"/>
                  <a:lumOff val="85000"/>
                </a:schemeClr>
              </a:solidFill>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7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ysClr val="windowText" lastClr="000000"/>
                </a:solidFill>
                <a:latin typeface="Book Antiqua" panose="02040602050305030304" pitchFamily="18" charset="0"/>
              </a:rPr>
              <a:t>EV/EBIT</a:t>
            </a:r>
            <a:r>
              <a:rPr lang="en-US" sz="2000" b="1" baseline="0">
                <a:solidFill>
                  <a:sysClr val="windowText" lastClr="000000"/>
                </a:solidFill>
                <a:latin typeface="Book Antiqua" panose="02040602050305030304" pitchFamily="18" charset="0"/>
              </a:rPr>
              <a:t> (2018A - 2027E)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Valuation'!$B$6:$D$6</c:f>
              <c:strCache>
                <c:ptCount val="3"/>
                <c:pt idx="0">
                  <c:v>EV/EBIT</c:v>
                </c:pt>
              </c:strCache>
            </c:strRef>
          </c:tx>
          <c:spPr>
            <a:solidFill>
              <a:srgbClr val="002060"/>
            </a:solidFill>
            <a:ln>
              <a:noFill/>
            </a:ln>
            <a:effectLst/>
          </c:spPr>
          <c:invertIfNegative val="0"/>
          <c:cat>
            <c:strRef>
              <c:f>'Historical Valuation'!$E$4:$O$4</c:f>
              <c:strCache>
                <c:ptCount val="11"/>
                <c:pt idx="0">
                  <c:v>2018A</c:v>
                </c:pt>
                <c:pt idx="1">
                  <c:v>2019A</c:v>
                </c:pt>
                <c:pt idx="2">
                  <c:v>2020A</c:v>
                </c:pt>
                <c:pt idx="3">
                  <c:v>2021A</c:v>
                </c:pt>
                <c:pt idx="4">
                  <c:v>2022A</c:v>
                </c:pt>
                <c:pt idx="5">
                  <c:v>TTM</c:v>
                </c:pt>
                <c:pt idx="6">
                  <c:v>2023E</c:v>
                </c:pt>
                <c:pt idx="7">
                  <c:v>2024E</c:v>
                </c:pt>
                <c:pt idx="8">
                  <c:v>2025E</c:v>
                </c:pt>
                <c:pt idx="9">
                  <c:v>2026E</c:v>
                </c:pt>
                <c:pt idx="10">
                  <c:v>2027E</c:v>
                </c:pt>
              </c:strCache>
            </c:strRef>
          </c:cat>
          <c:val>
            <c:numRef>
              <c:f>'Historical Valuation'!$E$6:$O$6</c:f>
              <c:numCache>
                <c:formatCode>0.00\x</c:formatCode>
                <c:ptCount val="11"/>
                <c:pt idx="0">
                  <c:v>11.111505604822099</c:v>
                </c:pt>
                <c:pt idx="1">
                  <c:v>6.4746518024195394</c:v>
                </c:pt>
                <c:pt idx="2">
                  <c:v>7.6663405436017769</c:v>
                </c:pt>
                <c:pt idx="3">
                  <c:v>4.6023368731067462</c:v>
                </c:pt>
                <c:pt idx="4">
                  <c:v>4.3887324361156921</c:v>
                </c:pt>
                <c:pt idx="5">
                  <c:v>7.6128872232461617</c:v>
                </c:pt>
                <c:pt idx="6">
                  <c:v>9.4896784513893344</c:v>
                </c:pt>
                <c:pt idx="7">
                  <c:v>13.112373009057702</c:v>
                </c:pt>
                <c:pt idx="8">
                  <c:v>11.342906031223851</c:v>
                </c:pt>
                <c:pt idx="9">
                  <c:v>8.9736312333869339</c:v>
                </c:pt>
                <c:pt idx="10">
                  <c:v>8.325708541352979</c:v>
                </c:pt>
              </c:numCache>
            </c:numRef>
          </c:val>
          <c:extLst>
            <c:ext xmlns:c16="http://schemas.microsoft.com/office/drawing/2014/chart" uri="{C3380CC4-5D6E-409C-BE32-E72D297353CC}">
              <c16:uniqueId val="{00000000-3FF6-4E69-A858-EBE7E8583882}"/>
            </c:ext>
          </c:extLst>
        </c:ser>
        <c:dLbls>
          <c:showLegendKey val="0"/>
          <c:showVal val="0"/>
          <c:showCatName val="0"/>
          <c:showSerName val="0"/>
          <c:showPercent val="0"/>
          <c:showBubbleSize val="0"/>
        </c:dLbls>
        <c:gapWidth val="219"/>
        <c:overlap val="-27"/>
        <c:axId val="738459840"/>
        <c:axId val="738460320"/>
      </c:barChart>
      <c:catAx>
        <c:axId val="73845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460320"/>
        <c:crosses val="autoZero"/>
        <c:auto val="1"/>
        <c:lblAlgn val="ctr"/>
        <c:lblOffset val="100"/>
        <c:noMultiLvlLbl val="0"/>
      </c:catAx>
      <c:valAx>
        <c:axId val="738460320"/>
        <c:scaling>
          <c:orientation val="minMax"/>
        </c:scaling>
        <c:delete val="0"/>
        <c:axPos val="l"/>
        <c:majorGridlines>
          <c:spPr>
            <a:ln w="9525" cap="flat" cmpd="sng" algn="ctr">
              <a:solidFill>
                <a:schemeClr val="tx1">
                  <a:lumMod val="15000"/>
                  <a:lumOff val="85000"/>
                </a:schemeClr>
              </a:solidFill>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459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ysClr val="windowText" lastClr="000000"/>
                </a:solidFill>
                <a:latin typeface="Book Antiqua" panose="02040602050305030304" pitchFamily="18" charset="0"/>
              </a:rPr>
              <a:t>EV/EBITDA </a:t>
            </a:r>
            <a:r>
              <a:rPr lang="en-US" sz="2000" b="1" baseline="0">
                <a:solidFill>
                  <a:sysClr val="windowText" lastClr="000000"/>
                </a:solidFill>
                <a:latin typeface="Book Antiqua" panose="02040602050305030304" pitchFamily="18" charset="0"/>
              </a:rPr>
              <a:t> (2018A - 2027E)</a:t>
            </a:r>
            <a:endParaRPr lang="en-US" sz="2000" b="1">
              <a:solidFill>
                <a:sysClr val="windowText" lastClr="000000"/>
              </a:solidFill>
              <a:latin typeface="Book Antiqua" panose="020406020503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Valuation'!$B$7:$D$7</c:f>
              <c:strCache>
                <c:ptCount val="3"/>
                <c:pt idx="0">
                  <c:v>EV/EBITDA</c:v>
                </c:pt>
              </c:strCache>
            </c:strRef>
          </c:tx>
          <c:spPr>
            <a:solidFill>
              <a:srgbClr val="002060"/>
            </a:solidFill>
            <a:ln>
              <a:noFill/>
            </a:ln>
            <a:effectLst/>
          </c:spPr>
          <c:invertIfNegative val="0"/>
          <c:cat>
            <c:strRef>
              <c:f>'Historical Valuation'!$E$4:$O$4</c:f>
              <c:strCache>
                <c:ptCount val="11"/>
                <c:pt idx="0">
                  <c:v>2018A</c:v>
                </c:pt>
                <c:pt idx="1">
                  <c:v>2019A</c:v>
                </c:pt>
                <c:pt idx="2">
                  <c:v>2020A</c:v>
                </c:pt>
                <c:pt idx="3">
                  <c:v>2021A</c:v>
                </c:pt>
                <c:pt idx="4">
                  <c:v>2022A</c:v>
                </c:pt>
                <c:pt idx="5">
                  <c:v>TTM</c:v>
                </c:pt>
                <c:pt idx="6">
                  <c:v>2023E</c:v>
                </c:pt>
                <c:pt idx="7">
                  <c:v>2024E</c:v>
                </c:pt>
                <c:pt idx="8">
                  <c:v>2025E</c:v>
                </c:pt>
                <c:pt idx="9">
                  <c:v>2026E</c:v>
                </c:pt>
                <c:pt idx="10">
                  <c:v>2027E</c:v>
                </c:pt>
              </c:strCache>
            </c:strRef>
          </c:cat>
          <c:val>
            <c:numRef>
              <c:f>'Historical Valuation'!$E$7:$O$7</c:f>
              <c:numCache>
                <c:formatCode>0.00\x</c:formatCode>
                <c:ptCount val="11"/>
                <c:pt idx="0">
                  <c:v>8.781362851647339</c:v>
                </c:pt>
                <c:pt idx="1">
                  <c:v>5.1590854158880779</c:v>
                </c:pt>
                <c:pt idx="2">
                  <c:v>6.3132097301717103</c:v>
                </c:pt>
                <c:pt idx="3">
                  <c:v>3.7439755221318425</c:v>
                </c:pt>
                <c:pt idx="4">
                  <c:v>3.8774510815476408</c:v>
                </c:pt>
                <c:pt idx="5">
                  <c:v>6.2915527756089418</c:v>
                </c:pt>
                <c:pt idx="6">
                  <c:v>7.6222484536847537</c:v>
                </c:pt>
                <c:pt idx="7">
                  <c:v>10.136841359464189</c:v>
                </c:pt>
                <c:pt idx="8">
                  <c:v>9.4077870917423567</c:v>
                </c:pt>
                <c:pt idx="9">
                  <c:v>7.5746279901780103</c:v>
                </c:pt>
                <c:pt idx="10">
                  <c:v>6.9451130736731566</c:v>
                </c:pt>
              </c:numCache>
            </c:numRef>
          </c:val>
          <c:extLst>
            <c:ext xmlns:c16="http://schemas.microsoft.com/office/drawing/2014/chart" uri="{C3380CC4-5D6E-409C-BE32-E72D297353CC}">
              <c16:uniqueId val="{00000000-8A76-4F71-A03F-EF0EFFE00CEE}"/>
            </c:ext>
          </c:extLst>
        </c:ser>
        <c:dLbls>
          <c:showLegendKey val="0"/>
          <c:showVal val="0"/>
          <c:showCatName val="0"/>
          <c:showSerName val="0"/>
          <c:showPercent val="0"/>
          <c:showBubbleSize val="0"/>
        </c:dLbls>
        <c:gapWidth val="219"/>
        <c:overlap val="-27"/>
        <c:axId val="450648880"/>
        <c:axId val="450646960"/>
      </c:barChart>
      <c:catAx>
        <c:axId val="45064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646960"/>
        <c:crosses val="autoZero"/>
        <c:auto val="1"/>
        <c:lblAlgn val="ctr"/>
        <c:lblOffset val="100"/>
        <c:noMultiLvlLbl val="0"/>
      </c:catAx>
      <c:valAx>
        <c:axId val="450646960"/>
        <c:scaling>
          <c:orientation val="minMax"/>
        </c:scaling>
        <c:delete val="0"/>
        <c:axPos val="l"/>
        <c:majorGridlines>
          <c:spPr>
            <a:ln w="9525" cap="flat" cmpd="sng" algn="ctr">
              <a:solidFill>
                <a:schemeClr val="tx1">
                  <a:lumMod val="15000"/>
                  <a:lumOff val="85000"/>
                </a:schemeClr>
              </a:solidFill>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648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ysClr val="windowText" lastClr="000000"/>
                </a:solidFill>
                <a:latin typeface="Book Antiqua" panose="02040602050305030304" pitchFamily="18" charset="0"/>
              </a:rPr>
              <a:t>P/Sales</a:t>
            </a:r>
            <a:r>
              <a:rPr lang="en-US" sz="2000" b="1" baseline="0">
                <a:solidFill>
                  <a:sysClr val="windowText" lastClr="000000"/>
                </a:solidFill>
                <a:latin typeface="Book Antiqua" panose="02040602050305030304" pitchFamily="18" charset="0"/>
              </a:rPr>
              <a:t> (2018A-2027E)</a:t>
            </a:r>
            <a:endParaRPr lang="en-US" sz="2000" b="1">
              <a:solidFill>
                <a:sysClr val="windowText" lastClr="000000"/>
              </a:solidFill>
              <a:latin typeface="Book Antiqua" panose="020406020503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Valuation'!$B$9:$D$9</c:f>
              <c:strCache>
                <c:ptCount val="3"/>
                <c:pt idx="0">
                  <c:v>P / Sales </c:v>
                </c:pt>
              </c:strCache>
            </c:strRef>
          </c:tx>
          <c:spPr>
            <a:solidFill>
              <a:srgbClr val="002060"/>
            </a:solidFill>
            <a:ln>
              <a:solidFill>
                <a:srgbClr val="002060"/>
              </a:solidFill>
            </a:ln>
            <a:effectLst/>
          </c:spPr>
          <c:invertIfNegative val="0"/>
          <c:cat>
            <c:strRef>
              <c:f>'Historical Valuation'!$E$4:$O$4</c:f>
              <c:strCache>
                <c:ptCount val="11"/>
                <c:pt idx="0">
                  <c:v>2018A</c:v>
                </c:pt>
                <c:pt idx="1">
                  <c:v>2019A</c:v>
                </c:pt>
                <c:pt idx="2">
                  <c:v>2020A</c:v>
                </c:pt>
                <c:pt idx="3">
                  <c:v>2021A</c:v>
                </c:pt>
                <c:pt idx="4">
                  <c:v>2022A</c:v>
                </c:pt>
                <c:pt idx="5">
                  <c:v>TTM</c:v>
                </c:pt>
                <c:pt idx="6">
                  <c:v>2023E</c:v>
                </c:pt>
                <c:pt idx="7">
                  <c:v>2024E</c:v>
                </c:pt>
                <c:pt idx="8">
                  <c:v>2025E</c:v>
                </c:pt>
                <c:pt idx="9">
                  <c:v>2026E</c:v>
                </c:pt>
                <c:pt idx="10">
                  <c:v>2027E</c:v>
                </c:pt>
              </c:strCache>
            </c:strRef>
          </c:cat>
          <c:val>
            <c:numRef>
              <c:f>'Historical Valuation'!$E$9:$O$9</c:f>
              <c:numCache>
                <c:formatCode>0.00\x</c:formatCode>
                <c:ptCount val="11"/>
                <c:pt idx="0">
                  <c:v>3.0125603114904211</c:v>
                </c:pt>
                <c:pt idx="1">
                  <c:v>5.702347634243468</c:v>
                </c:pt>
                <c:pt idx="2">
                  <c:v>2.8565086688404553</c:v>
                </c:pt>
                <c:pt idx="3">
                  <c:v>2.4547555845154809</c:v>
                </c:pt>
                <c:pt idx="4">
                  <c:v>1.6650575700717172</c:v>
                </c:pt>
                <c:pt idx="5">
                  <c:v>1.1512502087131293</c:v>
                </c:pt>
                <c:pt idx="6">
                  <c:v>0.92597085195661688</c:v>
                </c:pt>
                <c:pt idx="7">
                  <c:v>0.75572624692038215</c:v>
                </c:pt>
                <c:pt idx="8">
                  <c:v>0.78266900260662753</c:v>
                </c:pt>
                <c:pt idx="9">
                  <c:v>0.77462758455735536</c:v>
                </c:pt>
                <c:pt idx="10">
                  <c:v>0.77627727121853241</c:v>
                </c:pt>
              </c:numCache>
            </c:numRef>
          </c:val>
          <c:extLst>
            <c:ext xmlns:c16="http://schemas.microsoft.com/office/drawing/2014/chart" uri="{C3380CC4-5D6E-409C-BE32-E72D297353CC}">
              <c16:uniqueId val="{00000000-843D-4D3E-A118-BC2DACF80341}"/>
            </c:ext>
          </c:extLst>
        </c:ser>
        <c:dLbls>
          <c:showLegendKey val="0"/>
          <c:showVal val="0"/>
          <c:showCatName val="0"/>
          <c:showSerName val="0"/>
          <c:showPercent val="0"/>
          <c:showBubbleSize val="0"/>
        </c:dLbls>
        <c:gapWidth val="219"/>
        <c:overlap val="-27"/>
        <c:axId val="450648880"/>
        <c:axId val="450646960"/>
      </c:barChart>
      <c:catAx>
        <c:axId val="45064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646960"/>
        <c:crosses val="autoZero"/>
        <c:auto val="1"/>
        <c:lblAlgn val="ctr"/>
        <c:lblOffset val="100"/>
        <c:noMultiLvlLbl val="0"/>
      </c:catAx>
      <c:valAx>
        <c:axId val="450646960"/>
        <c:scaling>
          <c:orientation val="minMax"/>
        </c:scaling>
        <c:delete val="0"/>
        <c:axPos val="l"/>
        <c:majorGridlines>
          <c:spPr>
            <a:ln w="9525" cap="flat" cmpd="sng" algn="ctr">
              <a:solidFill>
                <a:schemeClr val="tx1">
                  <a:lumMod val="15000"/>
                  <a:lumOff val="85000"/>
                </a:schemeClr>
              </a:solidFill>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648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ysClr val="windowText" lastClr="000000"/>
                </a:solidFill>
                <a:latin typeface="Book Antiqua" panose="02040602050305030304" pitchFamily="18" charset="0"/>
              </a:rPr>
              <a:t>EV/Sales</a:t>
            </a:r>
            <a:r>
              <a:rPr lang="en-US" sz="2000" b="1" baseline="0">
                <a:solidFill>
                  <a:sysClr val="windowText" lastClr="000000"/>
                </a:solidFill>
                <a:latin typeface="Book Antiqua" panose="02040602050305030304" pitchFamily="18" charset="0"/>
              </a:rPr>
              <a:t> (2018A-2027E)</a:t>
            </a:r>
            <a:endParaRPr lang="en-US" sz="2000" b="1">
              <a:solidFill>
                <a:sysClr val="windowText" lastClr="000000"/>
              </a:solidFill>
              <a:latin typeface="Book Antiqua" panose="020406020503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Valuation'!$B$8:$D$8</c:f>
              <c:strCache>
                <c:ptCount val="3"/>
                <c:pt idx="0">
                  <c:v>EV/Sales</c:v>
                </c:pt>
              </c:strCache>
            </c:strRef>
          </c:tx>
          <c:spPr>
            <a:solidFill>
              <a:srgbClr val="002060"/>
            </a:solidFill>
            <a:ln>
              <a:noFill/>
            </a:ln>
            <a:effectLst/>
          </c:spPr>
          <c:invertIfNegative val="0"/>
          <c:cat>
            <c:strRef>
              <c:f>'Historical Valuation'!$E$4:$O$4</c:f>
              <c:strCache>
                <c:ptCount val="11"/>
                <c:pt idx="0">
                  <c:v>2018A</c:v>
                </c:pt>
                <c:pt idx="1">
                  <c:v>2019A</c:v>
                </c:pt>
                <c:pt idx="2">
                  <c:v>2020A</c:v>
                </c:pt>
                <c:pt idx="3">
                  <c:v>2021A</c:v>
                </c:pt>
                <c:pt idx="4">
                  <c:v>2022A</c:v>
                </c:pt>
                <c:pt idx="5">
                  <c:v>TTM</c:v>
                </c:pt>
                <c:pt idx="6">
                  <c:v>2023E</c:v>
                </c:pt>
                <c:pt idx="7">
                  <c:v>2024E</c:v>
                </c:pt>
                <c:pt idx="8">
                  <c:v>2025E</c:v>
                </c:pt>
                <c:pt idx="9">
                  <c:v>2026E</c:v>
                </c:pt>
                <c:pt idx="10">
                  <c:v>2027E</c:v>
                </c:pt>
              </c:strCache>
            </c:strRef>
          </c:cat>
          <c:val>
            <c:numRef>
              <c:f>'Historical Valuation'!$E$8:$O$8</c:f>
              <c:numCache>
                <c:formatCode>0.00\x</c:formatCode>
                <c:ptCount val="11"/>
                <c:pt idx="0">
                  <c:v>1.8841869949436434</c:v>
                </c:pt>
                <c:pt idx="1">
                  <c:v>2.8662609192219941</c:v>
                </c:pt>
                <c:pt idx="2">
                  <c:v>2.0527979194899797</c:v>
                </c:pt>
                <c:pt idx="3">
                  <c:v>1.8105520332872018</c:v>
                </c:pt>
                <c:pt idx="4">
                  <c:v>1.3734941234356932</c:v>
                </c:pt>
                <c:pt idx="5">
                  <c:v>0.94173772509995346</c:v>
                </c:pt>
                <c:pt idx="6">
                  <c:v>0.81097466805837592</c:v>
                </c:pt>
                <c:pt idx="7">
                  <c:v>0.71029969344530397</c:v>
                </c:pt>
                <c:pt idx="8">
                  <c:v>0.77336677022681977</c:v>
                </c:pt>
                <c:pt idx="9">
                  <c:v>0.82039675153904978</c:v>
                </c:pt>
                <c:pt idx="10">
                  <c:v>0.88597277750497749</c:v>
                </c:pt>
              </c:numCache>
            </c:numRef>
          </c:val>
          <c:extLst>
            <c:ext xmlns:c16="http://schemas.microsoft.com/office/drawing/2014/chart" uri="{C3380CC4-5D6E-409C-BE32-E72D297353CC}">
              <c16:uniqueId val="{00000000-6A2B-44F0-9697-066AE755E3FC}"/>
            </c:ext>
          </c:extLst>
        </c:ser>
        <c:dLbls>
          <c:showLegendKey val="0"/>
          <c:showVal val="0"/>
          <c:showCatName val="0"/>
          <c:showSerName val="0"/>
          <c:showPercent val="0"/>
          <c:showBubbleSize val="0"/>
        </c:dLbls>
        <c:gapWidth val="219"/>
        <c:overlap val="-27"/>
        <c:axId val="450648880"/>
        <c:axId val="450646960"/>
      </c:barChart>
      <c:catAx>
        <c:axId val="45064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646960"/>
        <c:crosses val="autoZero"/>
        <c:auto val="1"/>
        <c:lblAlgn val="ctr"/>
        <c:lblOffset val="100"/>
        <c:noMultiLvlLbl val="0"/>
      </c:catAx>
      <c:valAx>
        <c:axId val="450646960"/>
        <c:scaling>
          <c:orientation val="minMax"/>
        </c:scaling>
        <c:delete val="0"/>
        <c:axPos val="l"/>
        <c:majorGridlines>
          <c:spPr>
            <a:ln w="9525" cap="flat" cmpd="sng" algn="ctr">
              <a:solidFill>
                <a:schemeClr val="tx1">
                  <a:lumMod val="15000"/>
                  <a:lumOff val="85000"/>
                </a:schemeClr>
              </a:solidFill>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648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10.sv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svg"/><Relationship Id="rId9" Type="http://schemas.openxmlformats.org/officeDocument/2006/relationships/image" Target="../media/image13.png"/><Relationship Id="rId1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3.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22.pn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10.svg"/><Relationship Id="rId11" Type="http://schemas.openxmlformats.org/officeDocument/2006/relationships/image" Target="../media/image21.png"/><Relationship Id="rId5" Type="http://schemas.openxmlformats.org/officeDocument/2006/relationships/image" Target="../media/image9.png"/><Relationship Id="rId10" Type="http://schemas.openxmlformats.org/officeDocument/2006/relationships/image" Target="../media/image20.png"/><Relationship Id="rId4" Type="http://schemas.openxmlformats.org/officeDocument/2006/relationships/image" Target="../media/image8.svg"/><Relationship Id="rId9" Type="http://schemas.openxmlformats.org/officeDocument/2006/relationships/image" Target="../media/image12.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19</xdr:col>
      <xdr:colOff>224041</xdr:colOff>
      <xdr:row>1</xdr:row>
      <xdr:rowOff>76199</xdr:rowOff>
    </xdr:from>
    <xdr:ext cx="1050580" cy="990601"/>
    <xdr:pic>
      <xdr:nvPicPr>
        <xdr:cNvPr id="2" name="Picture 1" descr="University at Albany School of Business Investment Group (UASBIG) |  University at Albany">
          <a:extLst>
            <a:ext uri="{FF2B5EF4-FFF2-40B4-BE49-F238E27FC236}">
              <a16:creationId xmlns:a16="http://schemas.microsoft.com/office/drawing/2014/main" id="{0DE5F854-6EC5-4059-BEDC-1A60D546F7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90385" y="195262"/>
          <a:ext cx="1050580" cy="9906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37775</xdr:colOff>
      <xdr:row>1</xdr:row>
      <xdr:rowOff>107068</xdr:rowOff>
    </xdr:from>
    <xdr:to>
      <xdr:col>3</xdr:col>
      <xdr:colOff>271053</xdr:colOff>
      <xdr:row>5</xdr:row>
      <xdr:rowOff>154869</xdr:rowOff>
    </xdr:to>
    <xdr:pic>
      <xdr:nvPicPr>
        <xdr:cNvPr id="6" name="Picture 5" descr="BFS Relocating Texas Yard - Building Products">
          <a:extLst>
            <a:ext uri="{FF2B5EF4-FFF2-40B4-BE49-F238E27FC236}">
              <a16:creationId xmlns:a16="http://schemas.microsoft.com/office/drawing/2014/main" id="{269C3267-0DD5-C11A-B985-F5C6BB2357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38" y="226131"/>
          <a:ext cx="3150309" cy="92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719666</xdr:colOff>
      <xdr:row>7</xdr:row>
      <xdr:rowOff>42333</xdr:rowOff>
    </xdr:from>
    <xdr:to>
      <xdr:col>20</xdr:col>
      <xdr:colOff>306297</xdr:colOff>
      <xdr:row>18</xdr:row>
      <xdr:rowOff>158750</xdr:rowOff>
    </xdr:to>
    <xdr:graphicFrame macro="">
      <xdr:nvGraphicFramePr>
        <xdr:cNvPr id="5" name="Chart 4">
          <a:extLst>
            <a:ext uri="{FF2B5EF4-FFF2-40B4-BE49-F238E27FC236}">
              <a16:creationId xmlns:a16="http://schemas.microsoft.com/office/drawing/2014/main" id="{E878DADD-9D15-4E8E-B1FD-5A32FC315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416719</xdr:colOff>
      <xdr:row>45</xdr:row>
      <xdr:rowOff>35717</xdr:rowOff>
    </xdr:from>
    <xdr:to>
      <xdr:col>20</xdr:col>
      <xdr:colOff>726281</xdr:colOff>
      <xdr:row>52</xdr:row>
      <xdr:rowOff>202405</xdr:rowOff>
    </xdr:to>
    <xdr:sp macro="" textlink="">
      <xdr:nvSpPr>
        <xdr:cNvPr id="7" name="TextBox 6">
          <a:extLst>
            <a:ext uri="{FF2B5EF4-FFF2-40B4-BE49-F238E27FC236}">
              <a16:creationId xmlns:a16="http://schemas.microsoft.com/office/drawing/2014/main" id="{3D94CD2E-712F-884C-D864-351272322EBD}"/>
            </a:ext>
          </a:extLst>
        </xdr:cNvPr>
        <xdr:cNvSpPr txBox="1"/>
      </xdr:nvSpPr>
      <xdr:spPr>
        <a:xfrm>
          <a:off x="9132094" y="9917905"/>
          <a:ext cx="885825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Book Antiqua" panose="02040602050305030304" pitchFamily="18" charset="0"/>
              <a:ea typeface="+mn-ea"/>
              <a:cs typeface="+mn-cs"/>
            </a:rPr>
            <a:t>The housing market is challenged by rising mortgage rates, a shortage of inventory, and increased ownership costs. Mortgage rates have surged over the past 18 months, hitting a 22-year high. This rise in rates has inflated the cost of owning a home and reduced available inventory. Many homeowners are holding onto their mortgages with exceptionally low rates from 2020 and 2021, making them reluctant to sell. The inventory of homes for sale has plummeted by 17.5% year-over-year, driving up prices and bolstering the appeal of new construction as a more affordable option. BLDR is well-positioned to benefit from this trend with its focus on new housing starts and building permits.</a:t>
          </a:r>
          <a:endParaRPr lang="en-US" sz="1400">
            <a:solidFill>
              <a:sysClr val="windowText" lastClr="000000"/>
            </a:solidFill>
            <a:effectLst/>
            <a:latin typeface="Book Antiqua" panose="02040602050305030304" pitchFamily="18" charset="0"/>
          </a:endParaRPr>
        </a:p>
        <a:p>
          <a:endParaRPr lang="en-US" sz="1100"/>
        </a:p>
      </xdr:txBody>
    </xdr:sp>
    <xdr:clientData/>
  </xdr:twoCellAnchor>
  <xdr:twoCellAnchor>
    <xdr:from>
      <xdr:col>9</xdr:col>
      <xdr:colOff>1</xdr:colOff>
      <xdr:row>54</xdr:row>
      <xdr:rowOff>35720</xdr:rowOff>
    </xdr:from>
    <xdr:to>
      <xdr:col>21</xdr:col>
      <xdr:colOff>1</xdr:colOff>
      <xdr:row>58</xdr:row>
      <xdr:rowOff>190500</xdr:rowOff>
    </xdr:to>
    <xdr:sp macro="" textlink="">
      <xdr:nvSpPr>
        <xdr:cNvPr id="9" name="TextBox 8">
          <a:extLst>
            <a:ext uri="{FF2B5EF4-FFF2-40B4-BE49-F238E27FC236}">
              <a16:creationId xmlns:a16="http://schemas.microsoft.com/office/drawing/2014/main" id="{DEC03DFA-9BD7-432C-A860-F494DC6A0F2B}"/>
            </a:ext>
          </a:extLst>
        </xdr:cNvPr>
        <xdr:cNvSpPr txBox="1"/>
      </xdr:nvSpPr>
      <xdr:spPr>
        <a:xfrm>
          <a:off x="9144001" y="11846720"/>
          <a:ext cx="8858250" cy="1012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400" b="0" i="0">
              <a:solidFill>
                <a:sysClr val="windowText" lastClr="000000"/>
              </a:solidFill>
              <a:effectLst/>
              <a:latin typeface="Book Antiqua" panose="02040602050305030304" pitchFamily="18" charset="0"/>
              <a:ea typeface="+mn-ea"/>
              <a:cs typeface="+mn-cs"/>
            </a:rPr>
            <a:t>As homeowners stay put </a:t>
          </a:r>
          <a:r>
            <a:rPr lang="en-US" sz="1400">
              <a:solidFill>
                <a:sysClr val="windowText" lastClr="000000"/>
              </a:solidFill>
              <a:effectLst/>
              <a:latin typeface="Book Antiqua" panose="02040602050305030304" pitchFamily="18" charset="0"/>
              <a:ea typeface="+mn-ea"/>
              <a:cs typeface="+mn-cs"/>
            </a:rPr>
            <a:t>and anticipate better competition</a:t>
          </a:r>
          <a:r>
            <a:rPr lang="en-US" sz="1400" b="0" i="0">
              <a:solidFill>
                <a:sysClr val="windowText" lastClr="000000"/>
              </a:solidFill>
              <a:effectLst/>
              <a:latin typeface="Book Antiqua" panose="02040602050305030304" pitchFamily="18" charset="0"/>
              <a:ea typeface="+mn-ea"/>
              <a:cs typeface="+mn-cs"/>
            </a:rPr>
            <a:t> due to the rise in new construction, renovations are on the rise. Owners aim to boost their property values, making renovation a strategic investment. BLDR, with its focus on value-added products, is well-positioned to meet the nation's renovation needs, capitalizing on homeowners' desire to enhance their most valuable assets in uncertain markets.</a:t>
          </a:r>
          <a:endParaRPr lang="en-US" sz="1400">
            <a:solidFill>
              <a:sysClr val="windowText" lastClr="000000"/>
            </a:solidFill>
            <a:effectLst/>
            <a:latin typeface="Book Antiqua" panose="02040602050305030304" pitchFamily="18" charset="0"/>
          </a:endParaRPr>
        </a:p>
        <a:p>
          <a:endParaRPr lang="en-US" sz="1100"/>
        </a:p>
      </xdr:txBody>
    </xdr:sp>
    <xdr:clientData/>
  </xdr:twoCellAnchor>
  <xdr:twoCellAnchor>
    <xdr:from>
      <xdr:col>8</xdr:col>
      <xdr:colOff>416719</xdr:colOff>
      <xdr:row>60</xdr:row>
      <xdr:rowOff>35718</xdr:rowOff>
    </xdr:from>
    <xdr:to>
      <xdr:col>20</xdr:col>
      <xdr:colOff>726281</xdr:colOff>
      <xdr:row>65</xdr:row>
      <xdr:rowOff>178592</xdr:rowOff>
    </xdr:to>
    <xdr:sp macro="" textlink="">
      <xdr:nvSpPr>
        <xdr:cNvPr id="11" name="TextBox 10">
          <a:extLst>
            <a:ext uri="{FF2B5EF4-FFF2-40B4-BE49-F238E27FC236}">
              <a16:creationId xmlns:a16="http://schemas.microsoft.com/office/drawing/2014/main" id="{671001A4-3B3B-45F5-BD09-C5B7C97A1B42}"/>
            </a:ext>
          </a:extLst>
        </xdr:cNvPr>
        <xdr:cNvSpPr txBox="1"/>
      </xdr:nvSpPr>
      <xdr:spPr>
        <a:xfrm>
          <a:off x="9132094" y="13132593"/>
          <a:ext cx="8858250" cy="121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400" b="0" i="0">
              <a:solidFill>
                <a:sysClr val="windowText" lastClr="000000"/>
              </a:solidFill>
              <a:effectLst/>
              <a:latin typeface="Book Antiqua" panose="02040602050305030304" pitchFamily="18" charset="0"/>
              <a:ea typeface="+mn-ea"/>
              <a:cs typeface="+mn-cs"/>
            </a:rPr>
            <a:t>BLDR continues to distinguish itself and revolutionize the industry by providing unprecedented technology to its customers. The digital adoption of myBLDR.com – a customer portal established in Q2, proprietary 3D home configuration and automated take-offs continue to meet the company's technology development milestones. Management believes the digital transformation of the homebuilding industry is a billion-dollar opportunity to the company. </a:t>
          </a:r>
          <a:endParaRPr lang="en-US" sz="1400">
            <a:solidFill>
              <a:sysClr val="windowText" lastClr="000000"/>
            </a:solidFill>
            <a:effectLst/>
            <a:latin typeface="Book Antiqua" panose="02040602050305030304" pitchFamily="18" charset="0"/>
          </a:endParaRPr>
        </a:p>
        <a:p>
          <a:endParaRPr lang="en-US" sz="1100"/>
        </a:p>
      </xdr:txBody>
    </xdr:sp>
    <xdr:clientData/>
  </xdr:twoCellAnchor>
  <xdr:twoCellAnchor>
    <xdr:from>
      <xdr:col>15</xdr:col>
      <xdr:colOff>261938</xdr:colOff>
      <xdr:row>67</xdr:row>
      <xdr:rowOff>41673</xdr:rowOff>
    </xdr:from>
    <xdr:to>
      <xdr:col>20</xdr:col>
      <xdr:colOff>714375</xdr:colOff>
      <xdr:row>75</xdr:row>
      <xdr:rowOff>160734</xdr:rowOff>
    </xdr:to>
    <xdr:sp macro="" textlink="">
      <xdr:nvSpPr>
        <xdr:cNvPr id="12" name="TextBox 11">
          <a:extLst>
            <a:ext uri="{FF2B5EF4-FFF2-40B4-BE49-F238E27FC236}">
              <a16:creationId xmlns:a16="http://schemas.microsoft.com/office/drawing/2014/main" id="{F5DFA1CA-CB0C-4CD3-BFC2-A7D07D4859C9}"/>
            </a:ext>
          </a:extLst>
        </xdr:cNvPr>
        <xdr:cNvSpPr txBox="1"/>
      </xdr:nvSpPr>
      <xdr:spPr>
        <a:xfrm>
          <a:off x="13775532" y="14543486"/>
          <a:ext cx="4143374" cy="1833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Book Antiqua" panose="02040602050305030304" pitchFamily="18" charset="0"/>
              <a:ea typeface="+mn-ea"/>
              <a:cs typeface="+mn-cs"/>
            </a:rPr>
            <a:t>1. Performance highly dependent on the housing market </a:t>
          </a:r>
          <a:endParaRPr lang="en-US" sz="1600">
            <a:effectLst/>
            <a:latin typeface="Book Antiqua" panose="02040602050305030304" pitchFamily="18" charset="0"/>
          </a:endParaRPr>
        </a:p>
        <a:p>
          <a:pPr rtl="0" eaLnBrk="1" latinLnBrk="0" hangingPunct="1"/>
          <a:r>
            <a:rPr lang="en-US" sz="1600">
              <a:solidFill>
                <a:schemeClr val="dk1"/>
              </a:solidFill>
              <a:effectLst/>
              <a:latin typeface="Book Antiqua" panose="02040602050305030304" pitchFamily="18" charset="0"/>
              <a:ea typeface="+mn-ea"/>
              <a:cs typeface="+mn-cs"/>
            </a:rPr>
            <a:t>2. Construction labor shortages </a:t>
          </a:r>
          <a:endParaRPr lang="en-US" sz="1600">
            <a:effectLst/>
            <a:latin typeface="Book Antiqua" panose="02040602050305030304" pitchFamily="18" charset="0"/>
          </a:endParaRPr>
        </a:p>
        <a:p>
          <a:pPr rtl="0" eaLnBrk="1" latinLnBrk="0" hangingPunct="1"/>
          <a:r>
            <a:rPr lang="en-US" sz="1600">
              <a:solidFill>
                <a:schemeClr val="dk1"/>
              </a:solidFill>
              <a:effectLst/>
              <a:latin typeface="Book Antiqua" panose="02040602050305030304" pitchFamily="18" charset="0"/>
              <a:ea typeface="+mn-ea"/>
              <a:cs typeface="+mn-cs"/>
            </a:rPr>
            <a:t>3. Consistent decrease in start of new homes </a:t>
          </a:r>
          <a:endParaRPr lang="en-US" sz="1600">
            <a:effectLst/>
            <a:latin typeface="Book Antiqua" panose="02040602050305030304" pitchFamily="18" charset="0"/>
          </a:endParaRPr>
        </a:p>
        <a:p>
          <a:endParaRPr lang="en-US" sz="1100"/>
        </a:p>
      </xdr:txBody>
    </xdr:sp>
    <xdr:clientData/>
  </xdr:twoCellAnchor>
  <xdr:twoCellAnchor>
    <xdr:from>
      <xdr:col>8</xdr:col>
      <xdr:colOff>428624</xdr:colOff>
      <xdr:row>67</xdr:row>
      <xdr:rowOff>40481</xdr:rowOff>
    </xdr:from>
    <xdr:to>
      <xdr:col>14</xdr:col>
      <xdr:colOff>497680</xdr:colOff>
      <xdr:row>75</xdr:row>
      <xdr:rowOff>161925</xdr:rowOff>
    </xdr:to>
    <xdr:sp macro="" textlink="">
      <xdr:nvSpPr>
        <xdr:cNvPr id="13" name="TextBox 12">
          <a:extLst>
            <a:ext uri="{FF2B5EF4-FFF2-40B4-BE49-F238E27FC236}">
              <a16:creationId xmlns:a16="http://schemas.microsoft.com/office/drawing/2014/main" id="{E014B1CC-C43D-4C48-8D88-638FBF4B39B9}"/>
            </a:ext>
          </a:extLst>
        </xdr:cNvPr>
        <xdr:cNvSpPr txBox="1"/>
      </xdr:nvSpPr>
      <xdr:spPr>
        <a:xfrm>
          <a:off x="9084468" y="14542294"/>
          <a:ext cx="4188618" cy="1835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Book Antiqua" panose="02040602050305030304" pitchFamily="18" charset="0"/>
              <a:ea typeface="+mn-ea"/>
              <a:cs typeface="+mn-cs"/>
            </a:rPr>
            <a:t>1. Strong housing market activity to come</a:t>
          </a:r>
          <a:endParaRPr lang="en-US" sz="1600">
            <a:effectLst/>
            <a:latin typeface="Book Antiqua" panose="02040602050305030304" pitchFamily="18" charset="0"/>
          </a:endParaRPr>
        </a:p>
        <a:p>
          <a:pPr algn="l" rtl="0" eaLnBrk="1" latinLnBrk="0" hangingPunct="1"/>
          <a:r>
            <a:rPr lang="en-US" sz="1600">
              <a:solidFill>
                <a:schemeClr val="dk1"/>
              </a:solidFill>
              <a:effectLst/>
              <a:latin typeface="Book Antiqua" panose="02040602050305030304" pitchFamily="18" charset="0"/>
              <a:ea typeface="+mn-ea"/>
              <a:cs typeface="+mn-cs"/>
            </a:rPr>
            <a:t>2. Rise in renovation and remodeling </a:t>
          </a:r>
          <a:endParaRPr lang="en-US" sz="1600">
            <a:effectLst/>
            <a:latin typeface="Book Antiqua" panose="02040602050305030304" pitchFamily="18" charset="0"/>
          </a:endParaRPr>
        </a:p>
        <a:p>
          <a:pPr algn="l" rtl="0" eaLnBrk="1" latinLnBrk="0" hangingPunct="1"/>
          <a:r>
            <a:rPr lang="en-US" sz="1600">
              <a:solidFill>
                <a:schemeClr val="dk1"/>
              </a:solidFill>
              <a:effectLst/>
              <a:latin typeface="Book Antiqua" panose="02040602050305030304" pitchFamily="18" charset="0"/>
              <a:ea typeface="+mn-ea"/>
              <a:cs typeface="+mn-cs"/>
            </a:rPr>
            <a:t>3. Diverse customer base</a:t>
          </a:r>
          <a:endParaRPr lang="en-US" sz="1600">
            <a:effectLst/>
            <a:latin typeface="Book Antiqua" panose="02040602050305030304" pitchFamily="18" charset="0"/>
          </a:endParaRPr>
        </a:p>
        <a:p>
          <a:pPr algn="l" rtl="0" eaLnBrk="1" latinLnBrk="0" hangingPunct="1"/>
          <a:r>
            <a:rPr lang="en-US" sz="1600">
              <a:solidFill>
                <a:schemeClr val="dk1"/>
              </a:solidFill>
              <a:effectLst/>
              <a:latin typeface="Book Antiqua" panose="02040602050305030304" pitchFamily="18" charset="0"/>
              <a:ea typeface="+mn-ea"/>
              <a:cs typeface="+mn-cs"/>
            </a:rPr>
            <a:t>4. Normalizing supply chain </a:t>
          </a:r>
          <a:endParaRPr lang="en-US" sz="1600">
            <a:effectLst/>
            <a:latin typeface="Book Antiqua" panose="02040602050305030304" pitchFamily="18" charset="0"/>
          </a:endParaRPr>
        </a:p>
        <a:p>
          <a:endParaRPr lang="en-US" sz="1100"/>
        </a:p>
      </xdr:txBody>
    </xdr:sp>
    <xdr:clientData/>
  </xdr:twoCellAnchor>
  <xdr:twoCellAnchor editAs="oneCell">
    <xdr:from>
      <xdr:col>8</xdr:col>
      <xdr:colOff>404812</xdr:colOff>
      <xdr:row>20</xdr:row>
      <xdr:rowOff>190501</xdr:rowOff>
    </xdr:from>
    <xdr:to>
      <xdr:col>21</xdr:col>
      <xdr:colOff>23812</xdr:colOff>
      <xdr:row>41</xdr:row>
      <xdr:rowOff>166149</xdr:rowOff>
    </xdr:to>
    <xdr:pic>
      <xdr:nvPicPr>
        <xdr:cNvPr id="3" name="Picture 2">
          <a:extLst>
            <a:ext uri="{FF2B5EF4-FFF2-40B4-BE49-F238E27FC236}">
              <a16:creationId xmlns:a16="http://schemas.microsoft.com/office/drawing/2014/main" id="{DF8E923D-83B0-BCA3-5E2D-B3F2BDA7B190}"/>
            </a:ext>
          </a:extLst>
        </xdr:cNvPr>
        <xdr:cNvPicPr>
          <a:picLocks noChangeAspect="1"/>
        </xdr:cNvPicPr>
      </xdr:nvPicPr>
      <xdr:blipFill>
        <a:blip xmlns:r="http://schemas.openxmlformats.org/officeDocument/2006/relationships" r:embed="rId4"/>
        <a:stretch>
          <a:fillRect/>
        </a:stretch>
      </xdr:blipFill>
      <xdr:spPr>
        <a:xfrm>
          <a:off x="9060656" y="4619626"/>
          <a:ext cx="8905875" cy="4476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689880</xdr:colOff>
      <xdr:row>5</xdr:row>
      <xdr:rowOff>81713</xdr:rowOff>
    </xdr:from>
    <xdr:to>
      <xdr:col>16</xdr:col>
      <xdr:colOff>806823</xdr:colOff>
      <xdr:row>18</xdr:row>
      <xdr:rowOff>90012</xdr:rowOff>
    </xdr:to>
    <xdr:graphicFrame macro="">
      <xdr:nvGraphicFramePr>
        <xdr:cNvPr id="3" name="Chart 2">
          <a:extLst>
            <a:ext uri="{FF2B5EF4-FFF2-40B4-BE49-F238E27FC236}">
              <a16:creationId xmlns:a16="http://schemas.microsoft.com/office/drawing/2014/main" id="{4B3256B3-C027-4E83-9092-9BD11F2BA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552256</xdr:colOff>
      <xdr:row>15</xdr:row>
      <xdr:rowOff>89109</xdr:rowOff>
    </xdr:from>
    <xdr:to>
      <xdr:col>16</xdr:col>
      <xdr:colOff>799906</xdr:colOff>
      <xdr:row>15</xdr:row>
      <xdr:rowOff>89109</xdr:rowOff>
    </xdr:to>
    <xdr:cxnSp macro="">
      <xdr:nvCxnSpPr>
        <xdr:cNvPr id="4" name="Straight Connector 3">
          <a:extLst>
            <a:ext uri="{FF2B5EF4-FFF2-40B4-BE49-F238E27FC236}">
              <a16:creationId xmlns:a16="http://schemas.microsoft.com/office/drawing/2014/main" id="{D52590F3-FCA8-411A-BAFA-C67919677062}"/>
            </a:ext>
          </a:extLst>
        </xdr:cNvPr>
        <xdr:cNvCxnSpPr/>
      </xdr:nvCxnSpPr>
      <xdr:spPr>
        <a:xfrm>
          <a:off x="6801822" y="3335385"/>
          <a:ext cx="6234793" cy="0"/>
        </a:xfrm>
        <a:prstGeom prst="line">
          <a:avLst/>
        </a:prstGeom>
        <a:ln w="38100"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xdr:col>
      <xdr:colOff>105941</xdr:colOff>
      <xdr:row>0</xdr:row>
      <xdr:rowOff>75230</xdr:rowOff>
    </xdr:from>
    <xdr:to>
      <xdr:col>1</xdr:col>
      <xdr:colOff>2119437</xdr:colOff>
      <xdr:row>3</xdr:row>
      <xdr:rowOff>136073</xdr:rowOff>
    </xdr:to>
    <xdr:pic>
      <xdr:nvPicPr>
        <xdr:cNvPr id="9" name="Picture 8">
          <a:extLst>
            <a:ext uri="{FF2B5EF4-FFF2-40B4-BE49-F238E27FC236}">
              <a16:creationId xmlns:a16="http://schemas.microsoft.com/office/drawing/2014/main" id="{FAD50FD5-8E9C-D5AA-C1B7-D4CE4A176D02}"/>
            </a:ext>
          </a:extLst>
        </xdr:cNvPr>
        <xdr:cNvPicPr>
          <a:picLocks noChangeAspect="1"/>
        </xdr:cNvPicPr>
      </xdr:nvPicPr>
      <xdr:blipFill>
        <a:blip xmlns:r="http://schemas.openxmlformats.org/officeDocument/2006/relationships" r:embed="rId2"/>
        <a:stretch>
          <a:fillRect/>
        </a:stretch>
      </xdr:blipFill>
      <xdr:spPr>
        <a:xfrm>
          <a:off x="251732" y="75230"/>
          <a:ext cx="2013496" cy="614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34</xdr:row>
      <xdr:rowOff>0</xdr:rowOff>
    </xdr:from>
    <xdr:ext cx="65" cy="172227"/>
    <xdr:sp macro="" textlink="">
      <xdr:nvSpPr>
        <xdr:cNvPr id="2" name="TextBox 1">
          <a:extLst>
            <a:ext uri="{FF2B5EF4-FFF2-40B4-BE49-F238E27FC236}">
              <a16:creationId xmlns:a16="http://schemas.microsoft.com/office/drawing/2014/main" id="{9AD667E9-F65B-474B-9A66-FB750E05D301}"/>
            </a:ext>
          </a:extLst>
        </xdr:cNvPr>
        <xdr:cNvSpPr txBox="1"/>
      </xdr:nvSpPr>
      <xdr:spPr>
        <a:xfrm>
          <a:off x="3133725" y="71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759355</xdr:colOff>
      <xdr:row>3</xdr:row>
      <xdr:rowOff>175587</xdr:rowOff>
    </xdr:from>
    <xdr:ext cx="815617" cy="928352"/>
    <xdr:pic>
      <xdr:nvPicPr>
        <xdr:cNvPr id="2" name="Graphic 1" descr="Bull with solid fill">
          <a:extLst>
            <a:ext uri="{FF2B5EF4-FFF2-40B4-BE49-F238E27FC236}">
              <a16:creationId xmlns:a16="http://schemas.microsoft.com/office/drawing/2014/main" id="{D1F1A0CD-0E32-4295-891F-E6F55090FC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713105" y="577754"/>
          <a:ext cx="815617" cy="928352"/>
        </a:xfrm>
        <a:prstGeom prst="rect">
          <a:avLst/>
        </a:prstGeom>
      </xdr:spPr>
    </xdr:pic>
    <xdr:clientData/>
  </xdr:oneCellAnchor>
  <xdr:oneCellAnchor>
    <xdr:from>
      <xdr:col>14</xdr:col>
      <xdr:colOff>796931</xdr:colOff>
      <xdr:row>3</xdr:row>
      <xdr:rowOff>175587</xdr:rowOff>
    </xdr:from>
    <xdr:ext cx="815617" cy="928352"/>
    <xdr:pic>
      <xdr:nvPicPr>
        <xdr:cNvPr id="3" name="Graphic 2" descr="Store with solid fill">
          <a:extLst>
            <a:ext uri="{FF2B5EF4-FFF2-40B4-BE49-F238E27FC236}">
              <a16:creationId xmlns:a16="http://schemas.microsoft.com/office/drawing/2014/main" id="{56F3919A-AC75-4F9C-86B4-EC786D53C9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639681" y="577754"/>
          <a:ext cx="815617" cy="928352"/>
        </a:xfrm>
        <a:prstGeom prst="rect">
          <a:avLst/>
        </a:prstGeom>
      </xdr:spPr>
    </xdr:pic>
    <xdr:clientData/>
  </xdr:oneCellAnchor>
  <xdr:oneCellAnchor>
    <xdr:from>
      <xdr:col>16</xdr:col>
      <xdr:colOff>5289</xdr:colOff>
      <xdr:row>3</xdr:row>
      <xdr:rowOff>175587</xdr:rowOff>
    </xdr:from>
    <xdr:ext cx="815617" cy="928352"/>
    <xdr:pic>
      <xdr:nvPicPr>
        <xdr:cNvPr id="4" name="Graphic 3" descr="Bear with solid fill">
          <a:extLst>
            <a:ext uri="{FF2B5EF4-FFF2-40B4-BE49-F238E27FC236}">
              <a16:creationId xmlns:a16="http://schemas.microsoft.com/office/drawing/2014/main" id="{F17B5080-8906-4553-AA94-58F45AEA657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26039" y="577754"/>
          <a:ext cx="815617" cy="928352"/>
        </a:xfrm>
        <a:prstGeom prst="rect">
          <a:avLst/>
        </a:prstGeom>
      </xdr:spPr>
    </xdr:pic>
    <xdr:clientData/>
  </xdr:oneCellAnchor>
  <xdr:twoCellAnchor editAs="oneCell">
    <xdr:from>
      <xdr:col>3</xdr:col>
      <xdr:colOff>28574</xdr:colOff>
      <xdr:row>3</xdr:row>
      <xdr:rowOff>28575</xdr:rowOff>
    </xdr:from>
    <xdr:to>
      <xdr:col>3</xdr:col>
      <xdr:colOff>1238250</xdr:colOff>
      <xdr:row>8</xdr:row>
      <xdr:rowOff>171451</xdr:rowOff>
    </xdr:to>
    <xdr:pic>
      <xdr:nvPicPr>
        <xdr:cNvPr id="5" name="Picture 4" descr="Builders FirstSource (BLDR) - Market capitalization">
          <a:extLst>
            <a:ext uri="{FF2B5EF4-FFF2-40B4-BE49-F238E27FC236}">
              <a16:creationId xmlns:a16="http://schemas.microsoft.com/office/drawing/2014/main" id="{A8393CF1-948F-5325-66AD-418D7C618A7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94491" y="430742"/>
          <a:ext cx="1209676" cy="1222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1333500</xdr:colOff>
      <xdr:row>4</xdr:row>
      <xdr:rowOff>133351</xdr:rowOff>
    </xdr:from>
    <xdr:to>
      <xdr:col>10</xdr:col>
      <xdr:colOff>1324842</xdr:colOff>
      <xdr:row>7</xdr:row>
      <xdr:rowOff>66676</xdr:rowOff>
    </xdr:to>
    <xdr:pic>
      <xdr:nvPicPr>
        <xdr:cNvPr id="8" name="Picture 7" descr="toll-brothers-logo-png-transparent - TheBDX.com">
          <a:extLst>
            <a:ext uri="{FF2B5EF4-FFF2-40B4-BE49-F238E27FC236}">
              <a16:creationId xmlns:a16="http://schemas.microsoft.com/office/drawing/2014/main" id="{0F04C698-387A-4961-3C0F-C8E7F09391C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784417" y="757768"/>
          <a:ext cx="1377758" cy="56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27884</xdr:colOff>
      <xdr:row>5</xdr:row>
      <xdr:rowOff>54795</xdr:rowOff>
    </xdr:from>
    <xdr:to>
      <xdr:col>6</xdr:col>
      <xdr:colOff>1268270</xdr:colOff>
      <xdr:row>6</xdr:row>
      <xdr:rowOff>145233</xdr:rowOff>
    </xdr:to>
    <xdr:pic>
      <xdr:nvPicPr>
        <xdr:cNvPr id="6" name="Picture 5" descr="Masco Stock Price Target and Analyst Ratings (NYSE:MAS)">
          <a:extLst>
            <a:ext uri="{FF2B5EF4-FFF2-40B4-BE49-F238E27FC236}">
              <a16:creationId xmlns:a16="http://schemas.microsoft.com/office/drawing/2014/main" id="{F045F55F-3809-31AD-EFB3-0A22932FD1D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319551" y="890878"/>
          <a:ext cx="1240386" cy="302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30268</xdr:colOff>
      <xdr:row>5</xdr:row>
      <xdr:rowOff>24488</xdr:rowOff>
    </xdr:from>
    <xdr:to>
      <xdr:col>9</xdr:col>
      <xdr:colOff>1108365</xdr:colOff>
      <xdr:row>6</xdr:row>
      <xdr:rowOff>175540</xdr:rowOff>
    </xdr:to>
    <xdr:pic>
      <xdr:nvPicPr>
        <xdr:cNvPr id="12" name="Picture 11" descr="Trex Offers Admission to New 'Trex University'">
          <a:extLst>
            <a:ext uri="{FF2B5EF4-FFF2-40B4-BE49-F238E27FC236}">
              <a16:creationId xmlns:a16="http://schemas.microsoft.com/office/drawing/2014/main" id="{75C6D13C-432E-0193-D297-37FE57E0B9A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81185" y="860571"/>
          <a:ext cx="1078097" cy="362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359833</xdr:colOff>
      <xdr:row>4</xdr:row>
      <xdr:rowOff>54903</xdr:rowOff>
    </xdr:from>
    <xdr:to>
      <xdr:col>5</xdr:col>
      <xdr:colOff>1178983</xdr:colOff>
      <xdr:row>7</xdr:row>
      <xdr:rowOff>145124</xdr:rowOff>
    </xdr:to>
    <xdr:pic>
      <xdr:nvPicPr>
        <xdr:cNvPr id="9" name="Picture 8" descr="Owens Corning Insulation Products Are First to Be...">
          <a:extLst>
            <a:ext uri="{FF2B5EF4-FFF2-40B4-BE49-F238E27FC236}">
              <a16:creationId xmlns:a16="http://schemas.microsoft.com/office/drawing/2014/main" id="{F46D860F-A553-577C-F1BC-5D9271646DB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212166" y="679320"/>
          <a:ext cx="819150" cy="725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275166</xdr:colOff>
      <xdr:row>4</xdr:row>
      <xdr:rowOff>14315</xdr:rowOff>
    </xdr:from>
    <xdr:to>
      <xdr:col>11</xdr:col>
      <xdr:colOff>1083729</xdr:colOff>
      <xdr:row>7</xdr:row>
      <xdr:rowOff>185711</xdr:rowOff>
    </xdr:to>
    <xdr:pic>
      <xdr:nvPicPr>
        <xdr:cNvPr id="10" name="Picture 9" descr="Home Depot PNG Images Transparent Free Download | PNGMart">
          <a:extLst>
            <a:ext uri="{FF2B5EF4-FFF2-40B4-BE49-F238E27FC236}">
              <a16:creationId xmlns:a16="http://schemas.microsoft.com/office/drawing/2014/main" id="{7599F8E2-3CDB-05CB-2F3C-76BC44CA2FB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498916" y="638732"/>
          <a:ext cx="808563" cy="806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1227666</xdr:colOff>
      <xdr:row>3</xdr:row>
      <xdr:rowOff>188128</xdr:rowOff>
    </xdr:from>
    <xdr:to>
      <xdr:col>8</xdr:col>
      <xdr:colOff>248707</xdr:colOff>
      <xdr:row>8</xdr:row>
      <xdr:rowOff>11898</xdr:rowOff>
    </xdr:to>
    <xdr:pic>
      <xdr:nvPicPr>
        <xdr:cNvPr id="11" name="Picture 10" descr="GMS Buys Distribution Unit in Honolulu | ProSales Online | Specialty ...">
          <a:extLst>
            <a:ext uri="{FF2B5EF4-FFF2-40B4-BE49-F238E27FC236}">
              <a16:creationId xmlns:a16="http://schemas.microsoft.com/office/drawing/2014/main" id="{8EEF9EBF-C669-0731-A8F0-B9E2AD5C3AE7}"/>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519333" y="590295"/>
          <a:ext cx="1793874" cy="903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74082</xdr:colOff>
      <xdr:row>4</xdr:row>
      <xdr:rowOff>128812</xdr:rowOff>
    </xdr:from>
    <xdr:to>
      <xdr:col>8</xdr:col>
      <xdr:colOff>1328205</xdr:colOff>
      <xdr:row>7</xdr:row>
      <xdr:rowOff>71215</xdr:rowOff>
    </xdr:to>
    <xdr:pic>
      <xdr:nvPicPr>
        <xdr:cNvPr id="13" name="Picture 12" descr="Lowe’s – Logos Download">
          <a:extLst>
            <a:ext uri="{FF2B5EF4-FFF2-40B4-BE49-F238E27FC236}">
              <a16:creationId xmlns:a16="http://schemas.microsoft.com/office/drawing/2014/main" id="{55760903-F0E4-3249-8B34-A7011B0A9A4B}"/>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138582" y="753229"/>
          <a:ext cx="1254123" cy="577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66676</xdr:colOff>
      <xdr:row>23</xdr:row>
      <xdr:rowOff>81491</xdr:rowOff>
    </xdr:from>
    <xdr:to>
      <xdr:col>5</xdr:col>
      <xdr:colOff>64559</xdr:colOff>
      <xdr:row>40</xdr:row>
      <xdr:rowOff>140757</xdr:rowOff>
    </xdr:to>
    <xdr:graphicFrame macro="">
      <xdr:nvGraphicFramePr>
        <xdr:cNvPr id="2" name="Chart 1">
          <a:extLst>
            <a:ext uri="{FF2B5EF4-FFF2-40B4-BE49-F238E27FC236}">
              <a16:creationId xmlns:a16="http://schemas.microsoft.com/office/drawing/2014/main" id="{79FAE3AB-8F5D-01DF-31FB-FAF4C2AEDA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161922</xdr:colOff>
      <xdr:row>23</xdr:row>
      <xdr:rowOff>81491</xdr:rowOff>
    </xdr:from>
    <xdr:to>
      <xdr:col>10</xdr:col>
      <xdr:colOff>22222</xdr:colOff>
      <xdr:row>40</xdr:row>
      <xdr:rowOff>140757</xdr:rowOff>
    </xdr:to>
    <xdr:graphicFrame macro="">
      <xdr:nvGraphicFramePr>
        <xdr:cNvPr id="5" name="Chart 4">
          <a:extLst>
            <a:ext uri="{FF2B5EF4-FFF2-40B4-BE49-F238E27FC236}">
              <a16:creationId xmlns:a16="http://schemas.microsoft.com/office/drawing/2014/main" id="{353A1FE8-C041-64D0-AEE8-7C208CB3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116416</xdr:colOff>
      <xdr:row>23</xdr:row>
      <xdr:rowOff>81491</xdr:rowOff>
    </xdr:from>
    <xdr:to>
      <xdr:col>15</xdr:col>
      <xdr:colOff>63500</xdr:colOff>
      <xdr:row>40</xdr:row>
      <xdr:rowOff>140757</xdr:rowOff>
    </xdr:to>
    <xdr:graphicFrame macro="">
      <xdr:nvGraphicFramePr>
        <xdr:cNvPr id="6" name="Chart 5">
          <a:extLst>
            <a:ext uri="{FF2B5EF4-FFF2-40B4-BE49-F238E27FC236}">
              <a16:creationId xmlns:a16="http://schemas.microsoft.com/office/drawing/2014/main" id="{D2F47950-51E3-6AFA-6A67-2A277FB16B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83609</xdr:colOff>
      <xdr:row>23</xdr:row>
      <xdr:rowOff>81491</xdr:rowOff>
    </xdr:from>
    <xdr:to>
      <xdr:col>27</xdr:col>
      <xdr:colOff>515409</xdr:colOff>
      <xdr:row>40</xdr:row>
      <xdr:rowOff>140757</xdr:rowOff>
    </xdr:to>
    <xdr:graphicFrame macro="">
      <xdr:nvGraphicFramePr>
        <xdr:cNvPr id="3" name="Chart 2">
          <a:extLst>
            <a:ext uri="{FF2B5EF4-FFF2-40B4-BE49-F238E27FC236}">
              <a16:creationId xmlns:a16="http://schemas.microsoft.com/office/drawing/2014/main" id="{B6843BB8-0677-4FD4-A6EF-19CBBF0A4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148167</xdr:colOff>
      <xdr:row>23</xdr:row>
      <xdr:rowOff>81491</xdr:rowOff>
    </xdr:from>
    <xdr:to>
      <xdr:col>20</xdr:col>
      <xdr:colOff>601134</xdr:colOff>
      <xdr:row>40</xdr:row>
      <xdr:rowOff>140757</xdr:rowOff>
    </xdr:to>
    <xdr:graphicFrame macro="">
      <xdr:nvGraphicFramePr>
        <xdr:cNvPr id="4" name="Chart 3">
          <a:extLst>
            <a:ext uri="{FF2B5EF4-FFF2-40B4-BE49-F238E27FC236}">
              <a16:creationId xmlns:a16="http://schemas.microsoft.com/office/drawing/2014/main" id="{65A3018C-5DB6-4019-9AE3-EE62E687D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261938</xdr:colOff>
      <xdr:row>4</xdr:row>
      <xdr:rowOff>0</xdr:rowOff>
    </xdr:from>
    <xdr:ext cx="815617" cy="928352"/>
    <xdr:pic>
      <xdr:nvPicPr>
        <xdr:cNvPr id="2" name="Graphic 1" descr="Bull with solid fill">
          <a:extLst>
            <a:ext uri="{FF2B5EF4-FFF2-40B4-BE49-F238E27FC236}">
              <a16:creationId xmlns:a16="http://schemas.microsoft.com/office/drawing/2014/main" id="{2C5D34CE-0639-46A5-93A0-62716F788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444663" y="704850"/>
          <a:ext cx="815617" cy="928352"/>
        </a:xfrm>
        <a:prstGeom prst="rect">
          <a:avLst/>
        </a:prstGeom>
      </xdr:spPr>
    </xdr:pic>
    <xdr:clientData/>
  </xdr:oneCellAnchor>
  <xdr:oneCellAnchor>
    <xdr:from>
      <xdr:col>14</xdr:col>
      <xdr:colOff>796931</xdr:colOff>
      <xdr:row>4</xdr:row>
      <xdr:rowOff>0</xdr:rowOff>
    </xdr:from>
    <xdr:ext cx="815617" cy="928352"/>
    <xdr:pic>
      <xdr:nvPicPr>
        <xdr:cNvPr id="3" name="Graphic 2" descr="Store with solid fill">
          <a:extLst>
            <a:ext uri="{FF2B5EF4-FFF2-40B4-BE49-F238E27FC236}">
              <a16:creationId xmlns:a16="http://schemas.microsoft.com/office/drawing/2014/main" id="{98194A4C-1C75-4EB2-A50D-8E587EC852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865481" y="704850"/>
          <a:ext cx="815617" cy="928352"/>
        </a:xfrm>
        <a:prstGeom prst="rect">
          <a:avLst/>
        </a:prstGeom>
      </xdr:spPr>
    </xdr:pic>
    <xdr:clientData/>
  </xdr:oneCellAnchor>
  <xdr:oneCellAnchor>
    <xdr:from>
      <xdr:col>15</xdr:col>
      <xdr:colOff>555622</xdr:colOff>
      <xdr:row>4</xdr:row>
      <xdr:rowOff>0</xdr:rowOff>
    </xdr:from>
    <xdr:ext cx="815617" cy="928352"/>
    <xdr:pic>
      <xdr:nvPicPr>
        <xdr:cNvPr id="4" name="Graphic 3" descr="Bear with solid fill">
          <a:extLst>
            <a:ext uri="{FF2B5EF4-FFF2-40B4-BE49-F238E27FC236}">
              <a16:creationId xmlns:a16="http://schemas.microsoft.com/office/drawing/2014/main" id="{C3D3F5ED-E231-487B-BD57-3B8075B03B0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6690972" y="704850"/>
          <a:ext cx="815617" cy="928352"/>
        </a:xfrm>
        <a:prstGeom prst="rect">
          <a:avLst/>
        </a:prstGeom>
      </xdr:spPr>
    </xdr:pic>
    <xdr:clientData/>
  </xdr:oneCellAnchor>
  <xdr:twoCellAnchor editAs="oneCell">
    <xdr:from>
      <xdr:col>3</xdr:col>
      <xdr:colOff>28574</xdr:colOff>
      <xdr:row>3</xdr:row>
      <xdr:rowOff>28575</xdr:rowOff>
    </xdr:from>
    <xdr:to>
      <xdr:col>3</xdr:col>
      <xdr:colOff>1238250</xdr:colOff>
      <xdr:row>8</xdr:row>
      <xdr:rowOff>171451</xdr:rowOff>
    </xdr:to>
    <xdr:pic>
      <xdr:nvPicPr>
        <xdr:cNvPr id="5" name="Picture 4" descr="Builders FirstSource (BLDR) - Market capitalization">
          <a:extLst>
            <a:ext uri="{FF2B5EF4-FFF2-40B4-BE49-F238E27FC236}">
              <a16:creationId xmlns:a16="http://schemas.microsoft.com/office/drawing/2014/main" id="{D286F9DD-855C-4E1D-8152-16C61EE67EF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14599" y="514350"/>
          <a:ext cx="1209676" cy="1209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103044</xdr:colOff>
      <xdr:row>4</xdr:row>
      <xdr:rowOff>192231</xdr:rowOff>
    </xdr:from>
    <xdr:to>
      <xdr:col>7</xdr:col>
      <xdr:colOff>1320513</xdr:colOff>
      <xdr:row>6</xdr:row>
      <xdr:rowOff>108237</xdr:rowOff>
    </xdr:to>
    <xdr:pic>
      <xdr:nvPicPr>
        <xdr:cNvPr id="6" name="Picture 5" descr="Lennar Corporation - ResponsibilityReports.com">
          <a:extLst>
            <a:ext uri="{FF2B5EF4-FFF2-40B4-BE49-F238E27FC236}">
              <a16:creationId xmlns:a16="http://schemas.microsoft.com/office/drawing/2014/main" id="{CD8D7503-A9A1-455C-BE44-A7708C70DD6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32444" y="897081"/>
          <a:ext cx="1217469" cy="33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25977</xdr:colOff>
      <xdr:row>4</xdr:row>
      <xdr:rowOff>76200</xdr:rowOff>
    </xdr:from>
    <xdr:to>
      <xdr:col>9</xdr:col>
      <xdr:colOff>17318</xdr:colOff>
      <xdr:row>7</xdr:row>
      <xdr:rowOff>9525</xdr:rowOff>
    </xdr:to>
    <xdr:pic>
      <xdr:nvPicPr>
        <xdr:cNvPr id="7" name="Picture 6" descr="toll-brothers-logo-png-transparent - TheBDX.com">
          <a:extLst>
            <a:ext uri="{FF2B5EF4-FFF2-40B4-BE49-F238E27FC236}">
              <a16:creationId xmlns:a16="http://schemas.microsoft.com/office/drawing/2014/main" id="{11097ED3-EAC8-4DA0-9C04-C59AD2D6253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036502" y="781050"/>
          <a:ext cx="1372466"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107855</xdr:colOff>
      <xdr:row>4</xdr:row>
      <xdr:rowOff>161925</xdr:rowOff>
    </xdr:from>
    <xdr:to>
      <xdr:col>9</xdr:col>
      <xdr:colOff>1466849</xdr:colOff>
      <xdr:row>7</xdr:row>
      <xdr:rowOff>38099</xdr:rowOff>
    </xdr:to>
    <xdr:pic>
      <xdr:nvPicPr>
        <xdr:cNvPr id="8" name="Picture 7" descr="DR Horton – Logos Download">
          <a:extLst>
            <a:ext uri="{FF2B5EF4-FFF2-40B4-BE49-F238E27FC236}">
              <a16:creationId xmlns:a16="http://schemas.microsoft.com/office/drawing/2014/main" id="{631749F3-2E73-435A-AB6E-8EB8BB71B65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99505" y="866775"/>
          <a:ext cx="1358994"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356701</xdr:colOff>
      <xdr:row>4</xdr:row>
      <xdr:rowOff>19051</xdr:rowOff>
    </xdr:from>
    <xdr:to>
      <xdr:col>10</xdr:col>
      <xdr:colOff>1228725</xdr:colOff>
      <xdr:row>7</xdr:row>
      <xdr:rowOff>194357</xdr:rowOff>
    </xdr:to>
    <xdr:pic>
      <xdr:nvPicPr>
        <xdr:cNvPr id="9" name="Picture 8" descr="KB Home | Builder Magazine">
          <a:extLst>
            <a:ext uri="{FF2B5EF4-FFF2-40B4-BE49-F238E27FC236}">
              <a16:creationId xmlns:a16="http://schemas.microsoft.com/office/drawing/2014/main" id="{199DC887-A8B2-41B2-8845-BF9BEC32737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272351" y="723901"/>
          <a:ext cx="872024" cy="803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1445728</xdr:colOff>
      <xdr:row>4</xdr:row>
      <xdr:rowOff>66675</xdr:rowOff>
    </xdr:from>
    <xdr:to>
      <xdr:col>12</xdr:col>
      <xdr:colOff>9525</xdr:colOff>
      <xdr:row>6</xdr:row>
      <xdr:rowOff>134075</xdr:rowOff>
    </xdr:to>
    <xdr:pic>
      <xdr:nvPicPr>
        <xdr:cNvPr id="10" name="Picture 9" descr="PulteGroup logo in transparent PNG format">
          <a:extLst>
            <a:ext uri="{FF2B5EF4-FFF2-40B4-BE49-F238E27FC236}">
              <a16:creationId xmlns:a16="http://schemas.microsoft.com/office/drawing/2014/main" id="{30994399-45DF-4D93-85EF-34EADC1F4A7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361378" y="771525"/>
          <a:ext cx="1611797" cy="48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59634</xdr:colOff>
      <xdr:row>4</xdr:row>
      <xdr:rowOff>181842</xdr:rowOff>
    </xdr:from>
    <xdr:to>
      <xdr:col>5</xdr:col>
      <xdr:colOff>1300020</xdr:colOff>
      <xdr:row>6</xdr:row>
      <xdr:rowOff>60614</xdr:rowOff>
    </xdr:to>
    <xdr:pic>
      <xdr:nvPicPr>
        <xdr:cNvPr id="11" name="Picture 10" descr="Masco Stock Price Target and Analyst Ratings (NYSE:MAS)">
          <a:extLst>
            <a:ext uri="{FF2B5EF4-FFF2-40B4-BE49-F238E27FC236}">
              <a16:creationId xmlns:a16="http://schemas.microsoft.com/office/drawing/2014/main" id="{E542C6D0-327D-4A60-BD86-6E3FC62EB53F}"/>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926784" y="886692"/>
          <a:ext cx="1240386" cy="297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30268</xdr:colOff>
      <xdr:row>4</xdr:row>
      <xdr:rowOff>138545</xdr:rowOff>
    </xdr:from>
    <xdr:to>
      <xdr:col>6</xdr:col>
      <xdr:colOff>1108365</xdr:colOff>
      <xdr:row>6</xdr:row>
      <xdr:rowOff>77931</xdr:rowOff>
    </xdr:to>
    <xdr:pic>
      <xdr:nvPicPr>
        <xdr:cNvPr id="12" name="Picture 11" descr="Trex Offers Admission to New 'Trex University'">
          <a:extLst>
            <a:ext uri="{FF2B5EF4-FFF2-40B4-BE49-F238E27FC236}">
              <a16:creationId xmlns:a16="http://schemas.microsoft.com/office/drawing/2014/main" id="{76B7F69A-E25D-4391-AA19-308C22D2CA5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278543" y="843395"/>
          <a:ext cx="1078097" cy="358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8012-84FF-49D1-B0C0-590587ADE145}">
  <sheetPr>
    <tabColor rgb="FF002060"/>
    <pageSetUpPr fitToPage="1"/>
  </sheetPr>
  <dimension ref="A1:AD77"/>
  <sheetViews>
    <sheetView showGridLines="0" tabSelected="1" zoomScale="80" zoomScaleNormal="80" workbookViewId="0">
      <selection activeCell="B1" sqref="B1"/>
    </sheetView>
  </sheetViews>
  <sheetFormatPr defaultColWidth="9.140625" defaultRowHeight="16.5"/>
  <cols>
    <col min="1" max="1" width="1.7109375" style="21" customWidth="1"/>
    <col min="2" max="2" width="31.140625" style="21" bestFit="1" customWidth="1"/>
    <col min="3" max="3" width="12.7109375" style="21" customWidth="1"/>
    <col min="4" max="4" width="17" style="21" customWidth="1"/>
    <col min="5" max="5" width="24" style="21" customWidth="1"/>
    <col min="6" max="6" width="12.7109375" style="21" bestFit="1" customWidth="1"/>
    <col min="7" max="7" width="17" style="21" bestFit="1" customWidth="1"/>
    <col min="8" max="8" width="13.7109375" style="21" bestFit="1" customWidth="1"/>
    <col min="9" max="9" width="6.42578125" style="21" customWidth="1"/>
    <col min="10" max="21" width="11.140625" style="21" customWidth="1"/>
    <col min="22" max="22" width="1.42578125" style="21" customWidth="1"/>
    <col min="23" max="16384" width="9.140625" style="21"/>
  </cols>
  <sheetData>
    <row r="1" spans="1:26" ht="9.9499999999999993" customHeight="1"/>
    <row r="2" spans="1:26" ht="18.75">
      <c r="A2" s="360"/>
      <c r="B2" s="761"/>
      <c r="C2" s="761"/>
      <c r="D2" s="761"/>
      <c r="E2" s="761"/>
      <c r="F2" s="761"/>
      <c r="G2" s="761"/>
      <c r="H2" s="761"/>
      <c r="I2" s="761"/>
      <c r="J2" s="761"/>
      <c r="K2" s="761"/>
      <c r="L2" s="761"/>
      <c r="M2" s="761"/>
      <c r="N2" s="761"/>
      <c r="O2" s="761"/>
      <c r="P2" s="761"/>
      <c r="Q2" s="761"/>
      <c r="R2" s="761"/>
      <c r="S2" s="761"/>
      <c r="T2" s="761"/>
      <c r="U2" s="761"/>
      <c r="V2" s="388"/>
    </row>
    <row r="3" spans="1:26">
      <c r="A3" s="360"/>
      <c r="B3" s="762"/>
      <c r="C3" s="762"/>
      <c r="D3" s="762"/>
      <c r="E3" s="762"/>
      <c r="F3" s="762"/>
      <c r="G3" s="762"/>
      <c r="H3" s="762"/>
      <c r="I3" s="762"/>
      <c r="J3" s="762"/>
      <c r="K3" s="762"/>
      <c r="L3" s="762"/>
      <c r="M3" s="762"/>
      <c r="N3" s="762"/>
      <c r="O3" s="762"/>
      <c r="P3" s="762"/>
      <c r="Q3" s="762"/>
      <c r="R3" s="762"/>
      <c r="S3" s="762"/>
      <c r="T3" s="762"/>
      <c r="U3" s="762"/>
      <c r="V3" s="360"/>
    </row>
    <row r="4" spans="1:26">
      <c r="A4" s="360"/>
      <c r="B4" s="762"/>
      <c r="C4" s="762"/>
      <c r="D4" s="762"/>
      <c r="E4" s="762"/>
      <c r="F4" s="762"/>
      <c r="G4" s="762"/>
      <c r="H4" s="762"/>
      <c r="I4" s="762"/>
      <c r="J4" s="762"/>
      <c r="K4" s="762"/>
      <c r="L4" s="762"/>
      <c r="M4" s="762"/>
      <c r="N4" s="762"/>
      <c r="O4" s="762"/>
      <c r="P4" s="762"/>
      <c r="Q4" s="762"/>
      <c r="R4" s="762"/>
      <c r="S4" s="762"/>
      <c r="T4" s="762"/>
      <c r="U4" s="762"/>
      <c r="V4" s="360"/>
    </row>
    <row r="5" spans="1:26">
      <c r="A5" s="360"/>
      <c r="B5" s="762"/>
      <c r="C5" s="762"/>
      <c r="D5" s="762"/>
      <c r="E5" s="762"/>
      <c r="F5" s="762"/>
      <c r="G5" s="762"/>
      <c r="H5" s="762"/>
      <c r="I5" s="762"/>
      <c r="J5" s="762"/>
      <c r="K5" s="762"/>
      <c r="L5" s="762"/>
      <c r="M5" s="762"/>
      <c r="N5" s="762"/>
      <c r="O5" s="762"/>
      <c r="P5" s="762"/>
      <c r="Q5" s="762"/>
      <c r="R5" s="762"/>
      <c r="S5" s="762"/>
      <c r="T5" s="762"/>
      <c r="U5" s="762"/>
      <c r="V5" s="763"/>
    </row>
    <row r="6" spans="1:26">
      <c r="A6" s="360"/>
      <c r="B6" s="762"/>
      <c r="C6" s="762"/>
      <c r="D6" s="762"/>
      <c r="E6" s="762"/>
      <c r="F6" s="762"/>
      <c r="G6" s="762"/>
      <c r="H6" s="762"/>
      <c r="I6" s="762"/>
      <c r="J6" s="762"/>
      <c r="K6" s="762"/>
      <c r="L6" s="762"/>
      <c r="M6" s="762"/>
      <c r="N6" s="762"/>
      <c r="O6" s="762"/>
      <c r="P6" s="762"/>
      <c r="Q6" s="762"/>
      <c r="R6" s="762"/>
      <c r="S6" s="762"/>
      <c r="T6" s="762"/>
      <c r="U6" s="762"/>
      <c r="V6" s="360"/>
    </row>
    <row r="7" spans="1:26">
      <c r="A7" s="360"/>
      <c r="B7" s="400" t="s">
        <v>318</v>
      </c>
      <c r="C7" s="400"/>
      <c r="D7" s="401"/>
      <c r="E7" s="402"/>
      <c r="F7" s="402"/>
      <c r="G7" s="403"/>
      <c r="H7" s="404" t="str">
        <f>+IF(H8&gt;=20%,"BUY",IF(20%&gt;H8&gt;=0%,"HOLD","SELL"))</f>
        <v>BUY</v>
      </c>
      <c r="I7" s="387"/>
      <c r="J7" s="764" t="s">
        <v>317</v>
      </c>
      <c r="K7" s="764"/>
      <c r="L7" s="764"/>
      <c r="M7" s="764"/>
      <c r="N7" s="764"/>
      <c r="O7" s="764"/>
      <c r="P7" s="764"/>
      <c r="Q7" s="764"/>
      <c r="R7" s="764"/>
      <c r="S7" s="764"/>
      <c r="T7" s="764"/>
      <c r="U7" s="764"/>
      <c r="V7" s="360"/>
    </row>
    <row r="8" spans="1:26">
      <c r="A8" s="360"/>
      <c r="B8" s="377" t="s">
        <v>316</v>
      </c>
      <c r="C8" s="377"/>
      <c r="D8" s="377"/>
      <c r="E8" s="377"/>
      <c r="F8" s="377"/>
      <c r="G8" s="377"/>
      <c r="H8" s="386">
        <f>(H9-H10)/H10</f>
        <v>0.4899379057018185</v>
      </c>
      <c r="I8" s="385"/>
      <c r="J8" s="377"/>
      <c r="K8" s="377"/>
      <c r="L8" s="377"/>
      <c r="M8" s="377"/>
      <c r="N8" s="377"/>
      <c r="O8" s="377"/>
      <c r="P8" s="377"/>
      <c r="Q8" s="377"/>
      <c r="R8" s="377"/>
      <c r="S8" s="377"/>
      <c r="T8" s="377"/>
      <c r="U8" s="377"/>
      <c r="V8" s="360"/>
      <c r="Z8"/>
    </row>
    <row r="9" spans="1:26">
      <c r="A9" s="360"/>
      <c r="B9" s="377" t="s">
        <v>315</v>
      </c>
      <c r="C9" s="377"/>
      <c r="D9" s="377"/>
      <c r="E9" s="377"/>
      <c r="F9" s="377"/>
      <c r="G9" s="377"/>
      <c r="H9" s="384">
        <f>SUMPRODUCT(H22:H24,G22:G24)</f>
        <v>187.27029536766156</v>
      </c>
      <c r="I9" s="383"/>
      <c r="J9" s="377"/>
      <c r="K9" s="377"/>
      <c r="L9" s="377"/>
      <c r="M9" s="377"/>
      <c r="N9" s="377"/>
      <c r="O9" s="377"/>
      <c r="P9" s="377"/>
      <c r="Q9" s="377"/>
      <c r="R9" s="377"/>
      <c r="S9" s="377"/>
      <c r="T9" s="377"/>
      <c r="U9" s="377"/>
      <c r="V9" s="360"/>
    </row>
    <row r="10" spans="1:26">
      <c r="A10" s="360"/>
      <c r="B10" s="377" t="s">
        <v>314</v>
      </c>
      <c r="C10" s="377"/>
      <c r="D10" s="377"/>
      <c r="E10" s="377"/>
      <c r="F10" s="377"/>
      <c r="G10" s="654" t="s">
        <v>182</v>
      </c>
      <c r="H10" s="382">
        <v>125.69</v>
      </c>
      <c r="I10" s="381"/>
      <c r="J10" s="377"/>
      <c r="K10" s="377"/>
      <c r="L10" s="377"/>
      <c r="M10" s="377"/>
      <c r="N10" s="377"/>
      <c r="O10" s="377"/>
      <c r="P10" s="377"/>
      <c r="Q10" s="377"/>
      <c r="R10" s="377"/>
      <c r="S10" s="377"/>
      <c r="T10" s="377"/>
      <c r="U10" s="377"/>
      <c r="V10" s="360"/>
    </row>
    <row r="11" spans="1:26">
      <c r="A11" s="360"/>
      <c r="B11" s="377" t="s">
        <v>313</v>
      </c>
      <c r="C11" s="377"/>
      <c r="D11" s="377"/>
      <c r="E11" s="377"/>
      <c r="F11" s="377"/>
      <c r="G11" s="377"/>
      <c r="H11" s="372">
        <v>-0.15</v>
      </c>
      <c r="I11" s="380"/>
      <c r="J11" s="377"/>
      <c r="K11" s="377"/>
      <c r="L11" s="377"/>
      <c r="M11" s="377"/>
      <c r="N11" s="377"/>
      <c r="O11" s="377"/>
      <c r="P11" s="377"/>
      <c r="Q11" s="377"/>
      <c r="R11" s="377"/>
      <c r="S11" s="377"/>
      <c r="T11" s="377"/>
      <c r="U11" s="377"/>
      <c r="V11" s="360"/>
    </row>
    <row r="12" spans="1:26">
      <c r="A12" s="360"/>
      <c r="B12" s="377" t="s">
        <v>312</v>
      </c>
      <c r="C12" s="377"/>
      <c r="D12" s="377"/>
      <c r="E12" s="377"/>
      <c r="F12" s="377"/>
      <c r="G12" s="377"/>
      <c r="H12" s="379">
        <f>H10*(1+H11)</f>
        <v>106.8365</v>
      </c>
      <c r="I12" s="378"/>
      <c r="J12" s="377"/>
      <c r="K12" s="377"/>
      <c r="L12" s="377"/>
      <c r="M12" s="377"/>
      <c r="N12" s="377"/>
      <c r="O12" s="377"/>
      <c r="P12" s="377"/>
      <c r="Q12" s="377"/>
      <c r="R12" s="377"/>
      <c r="S12" s="377"/>
      <c r="T12" s="377"/>
      <c r="U12" s="377"/>
      <c r="V12" s="360"/>
    </row>
    <row r="13" spans="1:26">
      <c r="A13" s="360"/>
      <c r="B13" s="764" t="s">
        <v>311</v>
      </c>
      <c r="C13" s="764"/>
      <c r="D13" s="764"/>
      <c r="E13" s="764"/>
      <c r="F13" s="764"/>
      <c r="G13" s="764"/>
      <c r="H13" s="764"/>
      <c r="I13" s="376"/>
      <c r="V13" s="360"/>
    </row>
    <row r="14" spans="1:26">
      <c r="A14" s="360"/>
      <c r="B14" s="21" t="s">
        <v>310</v>
      </c>
      <c r="H14" s="114">
        <v>156.85</v>
      </c>
      <c r="V14" s="360"/>
    </row>
    <row r="15" spans="1:26">
      <c r="A15" s="360"/>
      <c r="B15" s="21" t="s">
        <v>309</v>
      </c>
      <c r="H15" s="160">
        <f>H10/H14</f>
        <v>0.80133885878227606</v>
      </c>
      <c r="J15" s="375"/>
      <c r="K15" s="375"/>
      <c r="L15" s="375"/>
      <c r="M15" s="375"/>
      <c r="N15" s="375"/>
      <c r="O15" s="375"/>
      <c r="P15" s="375"/>
      <c r="Q15" s="375"/>
      <c r="R15" s="375"/>
      <c r="S15" s="375"/>
      <c r="T15" s="375"/>
      <c r="U15" s="375"/>
      <c r="V15" s="360"/>
    </row>
    <row r="16" spans="1:26">
      <c r="A16" s="360"/>
      <c r="B16" s="21" t="s">
        <v>308</v>
      </c>
      <c r="H16" s="114">
        <v>53.79</v>
      </c>
      <c r="V16" s="360"/>
    </row>
    <row r="17" spans="1:30">
      <c r="A17" s="360"/>
      <c r="B17" s="21" t="s">
        <v>307</v>
      </c>
      <c r="H17" s="160">
        <f>H10/H16-1</f>
        <v>1.3366796802379626</v>
      </c>
      <c r="V17" s="360"/>
      <c r="AD17"/>
    </row>
    <row r="18" spans="1:30">
      <c r="A18" s="360"/>
      <c r="B18" s="21" t="s">
        <v>463</v>
      </c>
      <c r="H18" s="639">
        <f>H10*'Operating Model'!AH23/1000000</f>
        <v>16.096615539999998</v>
      </c>
      <c r="V18" s="360"/>
    </row>
    <row r="19" spans="1:30">
      <c r="A19" s="360"/>
      <c r="B19" s="21" t="s">
        <v>306</v>
      </c>
      <c r="H19" s="374">
        <f>Beta!L3</f>
        <v>1.5312872693718362</v>
      </c>
      <c r="V19" s="360"/>
    </row>
    <row r="20" spans="1:30">
      <c r="A20" s="360"/>
      <c r="B20" s="764" t="s">
        <v>305</v>
      </c>
      <c r="C20" s="764"/>
      <c r="D20" s="764"/>
      <c r="E20" s="764"/>
      <c r="F20" s="764"/>
      <c r="G20" s="764"/>
      <c r="H20" s="764"/>
      <c r="J20" s="765" t="s">
        <v>510</v>
      </c>
      <c r="K20" s="765"/>
      <c r="L20" s="765"/>
      <c r="M20" s="765"/>
      <c r="N20" s="765"/>
      <c r="O20" s="765"/>
      <c r="P20" s="765"/>
      <c r="Q20" s="765"/>
      <c r="R20" s="765"/>
      <c r="S20" s="765"/>
      <c r="T20" s="765"/>
      <c r="U20" s="765"/>
      <c r="V20" s="360"/>
    </row>
    <row r="21" spans="1:30">
      <c r="A21" s="360"/>
      <c r="E21" s="361"/>
      <c r="G21" s="373" t="s">
        <v>218</v>
      </c>
      <c r="H21" s="362" t="s">
        <v>215</v>
      </c>
      <c r="V21" s="360"/>
    </row>
    <row r="22" spans="1:30">
      <c r="A22" s="360"/>
      <c r="B22" s="21" t="s">
        <v>426</v>
      </c>
      <c r="G22" s="107">
        <f>'DCF Valuation'!D28</f>
        <v>177.37349996964392</v>
      </c>
      <c r="H22" s="372">
        <v>0.33329999999999999</v>
      </c>
      <c r="V22" s="360"/>
    </row>
    <row r="23" spans="1:30">
      <c r="A23" s="360"/>
      <c r="B23" s="21" t="s">
        <v>427</v>
      </c>
      <c r="G23" s="107">
        <f>'Historical Valuation'!S10</f>
        <v>161.13481941287893</v>
      </c>
      <c r="H23" s="372">
        <v>0.33329999999999999</v>
      </c>
      <c r="V23" s="360"/>
    </row>
    <row r="24" spans="1:30" ht="17.25" thickBot="1">
      <c r="A24" s="360"/>
      <c r="B24" s="21" t="s">
        <v>428</v>
      </c>
      <c r="G24" s="107">
        <f>'Comparable Valuation'!Q14</f>
        <v>223.3587534277429</v>
      </c>
      <c r="H24" s="372">
        <v>0.33329999999999999</v>
      </c>
      <c r="V24" s="360"/>
    </row>
    <row r="25" spans="1:30" ht="17.25" thickBot="1">
      <c r="A25" s="360"/>
      <c r="B25" s="801" t="s">
        <v>304</v>
      </c>
      <c r="C25" s="635"/>
      <c r="D25" s="635"/>
      <c r="E25" s="635"/>
      <c r="F25" s="635"/>
      <c r="G25" s="635"/>
      <c r="H25" s="636">
        <f>SUMPRODUCT(H22:H24,G22:G24)</f>
        <v>187.27029536766156</v>
      </c>
      <c r="V25" s="360"/>
    </row>
    <row r="26" spans="1:30">
      <c r="A26" s="360"/>
      <c r="V26" s="360"/>
    </row>
    <row r="27" spans="1:30">
      <c r="A27" s="360"/>
      <c r="B27" s="766" t="s">
        <v>481</v>
      </c>
      <c r="C27" s="766"/>
      <c r="D27" s="766"/>
      <c r="E27" s="766"/>
      <c r="F27" s="766"/>
      <c r="G27" s="766"/>
      <c r="H27" s="766"/>
      <c r="V27" s="360"/>
    </row>
    <row r="28" spans="1:30">
      <c r="A28" s="360"/>
      <c r="B28" s="640" t="s">
        <v>470</v>
      </c>
      <c r="C28" s="649">
        <v>45139</v>
      </c>
      <c r="D28" s="648" t="s">
        <v>483</v>
      </c>
      <c r="E28" s="640" t="s">
        <v>501</v>
      </c>
      <c r="F28" s="649">
        <v>45139</v>
      </c>
      <c r="G28" s="648" t="s">
        <v>482</v>
      </c>
      <c r="H28" s="362"/>
      <c r="V28" s="360"/>
    </row>
    <row r="29" spans="1:30">
      <c r="A29" s="360"/>
      <c r="B29" s="620" t="s">
        <v>464</v>
      </c>
      <c r="C29" s="650">
        <v>1541</v>
      </c>
      <c r="D29" s="651">
        <v>6.7914067914067955E-2</v>
      </c>
      <c r="E29" s="620" t="s">
        <v>496</v>
      </c>
      <c r="F29" s="652">
        <v>420385</v>
      </c>
      <c r="G29" s="651">
        <v>2.9000000000000001E-2</v>
      </c>
      <c r="H29" s="362"/>
      <c r="V29" s="360"/>
    </row>
    <row r="30" spans="1:30">
      <c r="A30" s="360"/>
      <c r="B30" s="620" t="s">
        <v>465</v>
      </c>
      <c r="C30" s="650">
        <v>1283</v>
      </c>
      <c r="D30" s="651">
        <v>-0.11333794056668967</v>
      </c>
      <c r="E30" s="620" t="s">
        <v>500</v>
      </c>
      <c r="F30" s="652">
        <v>480850</v>
      </c>
      <c r="G30" s="651">
        <v>-0.13500000000000001</v>
      </c>
      <c r="H30" s="362"/>
      <c r="V30" s="360"/>
    </row>
    <row r="31" spans="1:30">
      <c r="A31" s="360"/>
      <c r="B31" s="620" t="s">
        <v>466</v>
      </c>
      <c r="C31" s="650">
        <v>675</v>
      </c>
      <c r="D31" s="651">
        <v>-8.6603518267929669E-2</v>
      </c>
      <c r="E31" s="620" t="s">
        <v>499</v>
      </c>
      <c r="F31" s="652">
        <v>1533031</v>
      </c>
      <c r="G31" s="651">
        <v>-0.17499999999999999</v>
      </c>
      <c r="H31" s="362"/>
      <c r="V31" s="360"/>
    </row>
    <row r="32" spans="1:30">
      <c r="A32" s="360"/>
      <c r="B32" s="620" t="s">
        <v>467</v>
      </c>
      <c r="C32" s="650">
        <v>0.5</v>
      </c>
      <c r="D32" s="651">
        <v>-0.44444444444444442</v>
      </c>
      <c r="E32" s="620" t="s">
        <v>498</v>
      </c>
      <c r="F32" s="652">
        <v>544853</v>
      </c>
      <c r="G32" s="651">
        <v>-0.11899999999999999</v>
      </c>
      <c r="H32" s="362"/>
      <c r="V32" s="360"/>
    </row>
    <row r="33" spans="1:22">
      <c r="A33" s="360"/>
      <c r="B33" s="620" t="s">
        <v>468</v>
      </c>
      <c r="C33" s="650">
        <v>941</v>
      </c>
      <c r="D33" s="651">
        <v>-4.2726347914547325E-2</v>
      </c>
      <c r="E33" s="620" t="s">
        <v>497</v>
      </c>
      <c r="F33" s="652">
        <v>31</v>
      </c>
      <c r="G33" s="651">
        <v>0.15</v>
      </c>
      <c r="H33" s="362"/>
      <c r="V33" s="360"/>
    </row>
    <row r="34" spans="1:22">
      <c r="A34" s="360"/>
      <c r="B34" s="620" t="s">
        <v>469</v>
      </c>
      <c r="C34" s="650">
        <v>334</v>
      </c>
      <c r="D34" s="651">
        <v>-0.26269315673289184</v>
      </c>
      <c r="E34" s="620" t="s">
        <v>480</v>
      </c>
      <c r="F34" s="652">
        <v>2</v>
      </c>
      <c r="G34" s="651">
        <v>0</v>
      </c>
      <c r="H34" s="362"/>
      <c r="V34" s="360"/>
    </row>
    <row r="35" spans="1:22">
      <c r="A35" s="360"/>
      <c r="B35" s="764" t="s">
        <v>303</v>
      </c>
      <c r="C35" s="764"/>
      <c r="D35" s="764"/>
      <c r="E35" s="764"/>
      <c r="F35" s="764"/>
      <c r="G35" s="764"/>
      <c r="H35" s="764"/>
      <c r="V35" s="360"/>
    </row>
    <row r="36" spans="1:22">
      <c r="A36" s="360"/>
      <c r="G36" s="365" t="s">
        <v>302</v>
      </c>
      <c r="H36" s="365"/>
      <c r="V36" s="360"/>
    </row>
    <row r="37" spans="1:22">
      <c r="A37" s="360"/>
      <c r="B37" s="21" t="s">
        <v>301</v>
      </c>
      <c r="C37" s="362" t="s">
        <v>280</v>
      </c>
      <c r="D37" s="362" t="s">
        <v>279</v>
      </c>
      <c r="E37" s="362" t="s">
        <v>278</v>
      </c>
      <c r="F37" s="362" t="s">
        <v>277</v>
      </c>
      <c r="G37" s="361" t="s">
        <v>300</v>
      </c>
      <c r="H37" s="361" t="s">
        <v>299</v>
      </c>
      <c r="V37" s="360"/>
    </row>
    <row r="38" spans="1:22">
      <c r="A38" s="360"/>
      <c r="B38" s="148" t="s">
        <v>298</v>
      </c>
      <c r="C38" s="155">
        <f>Summary!K21</f>
        <v>19893856</v>
      </c>
      <c r="D38" s="155">
        <f>Summary!L21</f>
        <v>22726418</v>
      </c>
      <c r="E38" s="155">
        <f>Summary!M21</f>
        <v>17318407.350000001</v>
      </c>
      <c r="F38" s="155">
        <f>Summary!N21</f>
        <v>19134960.146000002</v>
      </c>
      <c r="G38" s="370">
        <f>Summary!D22</f>
        <v>0.3096683857337581</v>
      </c>
      <c r="H38" s="370">
        <f>Summary!F22</f>
        <v>9.5326283961482572E-2</v>
      </c>
      <c r="V38" s="360"/>
    </row>
    <row r="39" spans="1:22">
      <c r="A39" s="360"/>
      <c r="B39" s="369" t="s">
        <v>295</v>
      </c>
      <c r="C39" s="371">
        <f>Summary!K22</f>
        <v>1.3243543484808864</v>
      </c>
      <c r="D39" s="371">
        <f>Summary!L22</f>
        <v>0.14238375908622247</v>
      </c>
      <c r="E39" s="371">
        <f>Summary!M22</f>
        <v>-0.23796141785300251</v>
      </c>
      <c r="F39" s="371">
        <f>Summary!N22</f>
        <v>0.10489144638349202</v>
      </c>
      <c r="G39" s="365"/>
      <c r="H39" s="365"/>
      <c r="V39" s="360"/>
    </row>
    <row r="40" spans="1:22">
      <c r="A40" s="360"/>
      <c r="B40" s="148" t="s">
        <v>98</v>
      </c>
      <c r="C40" s="632">
        <f>Summary!K25</f>
        <v>5850956</v>
      </c>
      <c r="D40" s="632">
        <f>Summary!L25</f>
        <v>7744379</v>
      </c>
      <c r="E40" s="632">
        <f>Summary!M25</f>
        <v>6107223.1531335711</v>
      </c>
      <c r="F40" s="632">
        <f>Summary!N25</f>
        <v>6288287.4370526001</v>
      </c>
      <c r="G40" s="370">
        <f>Summary!D26</f>
        <v>0.41662602589776965</v>
      </c>
      <c r="H40" s="370">
        <f>Summary!F26</f>
        <v>8.1050913951480119E-2</v>
      </c>
      <c r="V40" s="360"/>
    </row>
    <row r="41" spans="1:22">
      <c r="A41" s="360"/>
      <c r="B41" s="369" t="s">
        <v>295</v>
      </c>
      <c r="C41" s="371">
        <f>Summary!K26</f>
        <v>1.6325016287348419</v>
      </c>
      <c r="D41" s="371">
        <f>Summary!L26</f>
        <v>0.32360916745912971</v>
      </c>
      <c r="E41" s="371">
        <f>Summary!M26</f>
        <v>-0.21139924154879675</v>
      </c>
      <c r="F41" s="371">
        <f>Summary!N26</f>
        <v>2.9647563119766795E-2</v>
      </c>
      <c r="G41" s="365"/>
      <c r="H41" s="365"/>
      <c r="V41" s="360"/>
    </row>
    <row r="42" spans="1:22">
      <c r="A42" s="360"/>
      <c r="B42" s="148" t="s">
        <v>108</v>
      </c>
      <c r="C42" s="155">
        <f>Summary!K28</f>
        <v>2387424</v>
      </c>
      <c r="D42" s="155">
        <f>Summary!L28</f>
        <v>3770206</v>
      </c>
      <c r="E42" s="155">
        <f>Summary!M28</f>
        <v>2250345.3113527959</v>
      </c>
      <c r="F42" s="155">
        <f>Summary!N28</f>
        <v>2054492.8757574796</v>
      </c>
      <c r="G42" s="370">
        <f>Summary!D29</f>
        <v>0.78790358221484591</v>
      </c>
      <c r="H42" s="370">
        <f>Summary!F29</f>
        <v>0.1070004830855551</v>
      </c>
      <c r="V42" s="360"/>
    </row>
    <row r="43" spans="1:22">
      <c r="A43" s="360"/>
      <c r="B43" s="369" t="s">
        <v>295</v>
      </c>
      <c r="C43" s="160">
        <f>Summary!K29</f>
        <v>-3.3898252104425088</v>
      </c>
      <c r="D43" s="160">
        <f>Summary!L29</f>
        <v>-0.57919414398112767</v>
      </c>
      <c r="E43" s="160">
        <f>Summary!M29</f>
        <v>-0.40312404379156053</v>
      </c>
      <c r="F43" s="160">
        <f>Summary!N29</f>
        <v>-8.7032169955098881E-2</v>
      </c>
      <c r="G43" s="370"/>
      <c r="H43" s="370"/>
      <c r="V43" s="360"/>
    </row>
    <row r="44" spans="1:22">
      <c r="A44" s="360"/>
      <c r="B44" s="369" t="s">
        <v>297</v>
      </c>
      <c r="C44" s="160">
        <f>Summary!K30</f>
        <v>0.1200081070256063</v>
      </c>
      <c r="D44" s="160">
        <f>Summary!L30</f>
        <v>0.16589530299055488</v>
      </c>
      <c r="E44" s="160">
        <f>Summary!M30</f>
        <v>0.12993950690002656</v>
      </c>
      <c r="F44" s="160">
        <f>Summary!N30</f>
        <v>0.10736854741696202</v>
      </c>
      <c r="G44" s="365"/>
      <c r="H44" s="365"/>
      <c r="V44" s="360"/>
    </row>
    <row r="45" spans="1:22">
      <c r="A45" s="360"/>
      <c r="B45" s="148" t="s">
        <v>219</v>
      </c>
      <c r="C45" s="155">
        <f>Summary!K31</f>
        <v>2934776</v>
      </c>
      <c r="D45" s="155">
        <f>Summary!L31</f>
        <v>4267346</v>
      </c>
      <c r="E45" s="155">
        <f>Summary!M31</f>
        <v>2801673.7500869799</v>
      </c>
      <c r="F45" s="155">
        <f>Summary!N31</f>
        <v>2657561.2635223945</v>
      </c>
      <c r="G45" s="370">
        <f>Summary!D32</f>
        <v>0.73875960501616333</v>
      </c>
      <c r="H45" s="370">
        <f>Summary!F32</f>
        <v>9.6582174674421761E-2</v>
      </c>
      <c r="J45" s="764" t="s">
        <v>481</v>
      </c>
      <c r="K45" s="764"/>
      <c r="L45" s="764"/>
      <c r="M45" s="764"/>
      <c r="N45" s="764"/>
      <c r="O45" s="764"/>
      <c r="P45" s="764"/>
      <c r="Q45" s="764"/>
      <c r="R45" s="764"/>
      <c r="S45" s="764"/>
      <c r="T45" s="764"/>
      <c r="U45" s="764"/>
      <c r="V45" s="360"/>
    </row>
    <row r="46" spans="1:22">
      <c r="A46" s="360"/>
      <c r="B46" s="369" t="s">
        <v>295</v>
      </c>
      <c r="C46" s="160">
        <f>Summary!K32</f>
        <v>-3.4438024287574578</v>
      </c>
      <c r="D46" s="160">
        <f>Summary!L32</f>
        <v>-0.45406191136904495</v>
      </c>
      <c r="E46" s="160">
        <f>Summary!M32</f>
        <v>-0.34346224794357427</v>
      </c>
      <c r="F46" s="160">
        <f>Summary!N32</f>
        <v>-5.1437997218666709E-2</v>
      </c>
      <c r="G46" s="370"/>
      <c r="H46" s="370"/>
      <c r="V46" s="360"/>
    </row>
    <row r="47" spans="1:22">
      <c r="A47" s="360"/>
      <c r="B47" s="369" t="s">
        <v>297</v>
      </c>
      <c r="C47" s="160">
        <f>Summary!K33</f>
        <v>0.14752172731118593</v>
      </c>
      <c r="D47" s="160">
        <f>Summary!L33</f>
        <v>0.18777028566490328</v>
      </c>
      <c r="E47" s="160">
        <f>Summary!M33</f>
        <v>0.16177433025254367</v>
      </c>
      <c r="F47" s="160">
        <f>Summary!N33</f>
        <v>0.13888512143454529</v>
      </c>
      <c r="G47" s="51"/>
      <c r="H47" s="51"/>
      <c r="V47" s="360"/>
    </row>
    <row r="48" spans="1:22">
      <c r="A48" s="360"/>
      <c r="B48" s="148" t="s">
        <v>296</v>
      </c>
      <c r="C48" s="155">
        <f>Summary!K34</f>
        <v>1725416</v>
      </c>
      <c r="D48" s="155">
        <f>Summary!L34</f>
        <v>2749369</v>
      </c>
      <c r="E48" s="155">
        <f>Summary!M34</f>
        <v>1602062.7261901852</v>
      </c>
      <c r="F48" s="155">
        <f>Summary!N34</f>
        <v>1453052.6920234831</v>
      </c>
      <c r="G48" s="370">
        <f>Summary!D35</f>
        <v>0.91323660264256201</v>
      </c>
      <c r="H48" s="370">
        <f>Summary!F35</f>
        <v>0.11695843873186873</v>
      </c>
      <c r="V48" s="360"/>
    </row>
    <row r="49" spans="1:22">
      <c r="A49" s="360"/>
      <c r="B49" s="369" t="s">
        <v>295</v>
      </c>
      <c r="C49" s="160">
        <f>Summary!K35</f>
        <v>-4.5030698131321021</v>
      </c>
      <c r="D49" s="160">
        <f>Summary!L35</f>
        <v>-0.59345282528966936</v>
      </c>
      <c r="E49" s="160">
        <f>Summary!M35</f>
        <v>-0.41729803231571128</v>
      </c>
      <c r="F49" s="160">
        <f>Summary!N35</f>
        <v>-9.3011360748063932E-2</v>
      </c>
      <c r="V49" s="360"/>
    </row>
    <row r="50" spans="1:22">
      <c r="A50" s="360"/>
      <c r="B50" s="369" t="s">
        <v>294</v>
      </c>
      <c r="C50" s="160">
        <f>Summary!K36</f>
        <v>8.6731099290152699E-2</v>
      </c>
      <c r="D50" s="160">
        <f>Summary!L36</f>
        <v>0.12097678569495642</v>
      </c>
      <c r="E50" s="160">
        <f>Summary!M36</f>
        <v>9.2506354297653415E-2</v>
      </c>
      <c r="F50" s="160">
        <f>Summary!N36</f>
        <v>7.5937063936202198E-2</v>
      </c>
      <c r="V50" s="360"/>
    </row>
    <row r="51" spans="1:22">
      <c r="A51" s="360"/>
      <c r="B51" s="764" t="s">
        <v>293</v>
      </c>
      <c r="C51" s="764"/>
      <c r="D51" s="764"/>
      <c r="E51" s="764"/>
      <c r="F51" s="764"/>
      <c r="G51" s="764"/>
      <c r="H51" s="764"/>
      <c r="V51" s="360"/>
    </row>
    <row r="52" spans="1:22">
      <c r="A52" s="360"/>
      <c r="D52" s="362" t="s">
        <v>291</v>
      </c>
      <c r="E52" s="362" t="s">
        <v>290</v>
      </c>
      <c r="F52" s="362" t="s">
        <v>289</v>
      </c>
      <c r="G52" s="362" t="s">
        <v>288</v>
      </c>
      <c r="H52" s="361" t="s">
        <v>287</v>
      </c>
      <c r="V52" s="360"/>
    </row>
    <row r="53" spans="1:22">
      <c r="A53" s="360"/>
      <c r="B53" s="21" t="s">
        <v>276</v>
      </c>
      <c r="D53" s="653">
        <f>'Operating Model'!AS21</f>
        <v>2.9546439997217666</v>
      </c>
      <c r="E53" s="653">
        <f>'Operating Model'!AT21</f>
        <v>3.5730958872281988</v>
      </c>
      <c r="F53" s="653">
        <f>'Operating Model'!AU21</f>
        <v>4.6262610585652002</v>
      </c>
      <c r="G53" s="653">
        <f>'Operating Model'!AV21</f>
        <v>2.8761487413494171</v>
      </c>
      <c r="H53" s="368">
        <f>'Operating Model'!AW21</f>
        <v>14.030149686864583</v>
      </c>
      <c r="V53" s="360"/>
    </row>
    <row r="54" spans="1:22">
      <c r="A54" s="360"/>
      <c r="B54" s="21" t="s">
        <v>277</v>
      </c>
      <c r="D54" s="653">
        <f>'Operating Model'!AM21</f>
        <v>2.3429404180796194</v>
      </c>
      <c r="E54" s="653">
        <f>'Operating Model'!AN21</f>
        <v>2.9531365118432005</v>
      </c>
      <c r="F54" s="653">
        <f>'Operating Model'!AO21</f>
        <v>3.6590488259621003</v>
      </c>
      <c r="G54" s="653">
        <f>'Operating Model'!AP21</f>
        <v>2.5535828956573843</v>
      </c>
      <c r="H54" s="368">
        <f>'Operating Model'!AQ21</f>
        <v>11.508708651542303</v>
      </c>
      <c r="J54" s="764" t="s">
        <v>502</v>
      </c>
      <c r="K54" s="764"/>
      <c r="L54" s="764"/>
      <c r="M54" s="764"/>
      <c r="N54" s="764"/>
      <c r="O54" s="764"/>
      <c r="P54" s="764"/>
      <c r="Q54" s="764"/>
      <c r="R54" s="764"/>
      <c r="S54" s="764"/>
      <c r="T54" s="764"/>
      <c r="U54" s="764"/>
      <c r="V54" s="360"/>
    </row>
    <row r="55" spans="1:22">
      <c r="A55" s="360"/>
      <c r="B55" s="21" t="s">
        <v>278</v>
      </c>
      <c r="D55" s="107">
        <f>'Operating Model'!AG21</f>
        <v>2.4115394618963673</v>
      </c>
      <c r="E55" s="107">
        <f>'Operating Model'!AH21</f>
        <v>3.159456842565552</v>
      </c>
      <c r="F55" s="107">
        <f>'Operating Model'!AI21</f>
        <v>3.8828320986733531</v>
      </c>
      <c r="G55" s="653">
        <f>'Operating Model'!AJ21</f>
        <v>2.894804416798229</v>
      </c>
      <c r="H55" s="368">
        <f>'Operating Model'!AK21</f>
        <v>12.348632819933501</v>
      </c>
      <c r="V55" s="360"/>
    </row>
    <row r="56" spans="1:22">
      <c r="A56" s="360"/>
      <c r="B56" s="21" t="s">
        <v>279</v>
      </c>
      <c r="D56" s="107">
        <f>'Operating Model'!AA21</f>
        <v>3.5625410758245799</v>
      </c>
      <c r="E56" s="107">
        <f>'Operating Model'!AB21</f>
        <v>5.754676506420906</v>
      </c>
      <c r="F56" s="107">
        <f>'Operating Model'!AC21</f>
        <v>4.7159106158102917</v>
      </c>
      <c r="G56" s="107">
        <f>'Operating Model'!AD21</f>
        <v>2.7895717869859973</v>
      </c>
      <c r="H56" s="368">
        <f>'Operating Model'!AE21</f>
        <v>16.817666884836768</v>
      </c>
      <c r="V56" s="360"/>
    </row>
    <row r="57" spans="1:22">
      <c r="A57" s="360"/>
      <c r="B57" s="21" t="s">
        <v>280</v>
      </c>
      <c r="D57" s="107">
        <f>'Operating Model'!U21</f>
        <v>0.82722984891479412</v>
      </c>
      <c r="E57" s="107">
        <f>'Operating Model'!V21</f>
        <v>2.3869036761105615</v>
      </c>
      <c r="F57" s="107">
        <f>'Operating Model'!W21</f>
        <v>2.9817876768953946</v>
      </c>
      <c r="G57" s="107">
        <f>'Operating Model'!X21</f>
        <v>2.2798402998880265</v>
      </c>
      <c r="H57" s="368">
        <f>'Operating Model'!Y21</f>
        <v>8.4757615018087762</v>
      </c>
      <c r="V57" s="360"/>
    </row>
    <row r="58" spans="1:22">
      <c r="A58" s="360"/>
      <c r="B58" s="764" t="s">
        <v>292</v>
      </c>
      <c r="C58" s="764"/>
      <c r="D58" s="764"/>
      <c r="E58" s="764"/>
      <c r="F58" s="764"/>
      <c r="G58" s="764"/>
      <c r="H58" s="764"/>
      <c r="V58" s="360"/>
    </row>
    <row r="59" spans="1:22">
      <c r="A59" s="360"/>
      <c r="D59" s="362" t="s">
        <v>291</v>
      </c>
      <c r="E59" s="362" t="s">
        <v>290</v>
      </c>
      <c r="F59" s="362" t="s">
        <v>289</v>
      </c>
      <c r="G59" s="362" t="s">
        <v>288</v>
      </c>
      <c r="H59" s="361" t="s">
        <v>287</v>
      </c>
      <c r="V59" s="360"/>
    </row>
    <row r="60" spans="1:22">
      <c r="A60" s="360"/>
      <c r="B60" s="21" t="s">
        <v>276</v>
      </c>
      <c r="D60" s="107">
        <v>2.35</v>
      </c>
      <c r="E60" s="107">
        <v>3.44</v>
      </c>
      <c r="F60" s="107">
        <v>4.59</v>
      </c>
      <c r="G60" s="107">
        <v>3.11</v>
      </c>
      <c r="H60" s="368">
        <v>13.37</v>
      </c>
      <c r="J60" s="764" t="s">
        <v>502</v>
      </c>
      <c r="K60" s="764"/>
      <c r="L60" s="764"/>
      <c r="M60" s="764"/>
      <c r="N60" s="764"/>
      <c r="O60" s="764"/>
      <c r="P60" s="764"/>
      <c r="Q60" s="764"/>
      <c r="R60" s="764"/>
      <c r="S60" s="764"/>
      <c r="T60" s="764"/>
      <c r="U60" s="764"/>
      <c r="V60" s="360"/>
    </row>
    <row r="61" spans="1:22">
      <c r="A61" s="360"/>
      <c r="B61" s="21" t="s">
        <v>277</v>
      </c>
      <c r="D61" s="107">
        <v>2.21</v>
      </c>
      <c r="E61" s="107">
        <v>3.46</v>
      </c>
      <c r="F61" s="107">
        <v>3.93</v>
      </c>
      <c r="G61" s="107">
        <v>2.56</v>
      </c>
      <c r="H61" s="368">
        <v>11.67</v>
      </c>
      <c r="V61" s="360"/>
    </row>
    <row r="62" spans="1:22">
      <c r="A62" s="360"/>
      <c r="B62" s="21" t="s">
        <v>278</v>
      </c>
      <c r="D62" s="107">
        <f>'Operating Model'!AG21</f>
        <v>2.4115394618963673</v>
      </c>
      <c r="E62" s="107">
        <f>'Operating Model'!AH21</f>
        <v>3.159456842565552</v>
      </c>
      <c r="F62" s="107">
        <v>3.88</v>
      </c>
      <c r="G62" s="107">
        <v>2.3199999999999998</v>
      </c>
      <c r="H62" s="368">
        <v>11.23</v>
      </c>
      <c r="V62" s="360"/>
    </row>
    <row r="63" spans="1:22">
      <c r="A63" s="360"/>
      <c r="D63" s="107"/>
      <c r="E63" s="107"/>
      <c r="F63" s="107"/>
      <c r="G63" s="107"/>
      <c r="H63" s="107"/>
      <c r="V63" s="360"/>
    </row>
    <row r="64" spans="1:22">
      <c r="A64" s="360"/>
      <c r="D64" s="107"/>
      <c r="E64" s="107"/>
      <c r="F64" s="107"/>
      <c r="G64" s="107"/>
      <c r="H64" s="107"/>
      <c r="V64" s="360"/>
    </row>
    <row r="65" spans="1:22">
      <c r="A65" s="360"/>
      <c r="B65" s="764" t="s">
        <v>286</v>
      </c>
      <c r="C65" s="764"/>
      <c r="D65" s="764"/>
      <c r="E65" s="764"/>
      <c r="F65" s="764"/>
      <c r="G65" s="764"/>
      <c r="H65" s="764"/>
      <c r="V65" s="360"/>
    </row>
    <row r="66" spans="1:22">
      <c r="A66" s="360"/>
      <c r="B66" s="367" t="s">
        <v>285</v>
      </c>
      <c r="D66" s="362" t="s">
        <v>284</v>
      </c>
      <c r="E66" s="366" t="s">
        <v>283</v>
      </c>
      <c r="F66" s="362" t="s">
        <v>210</v>
      </c>
      <c r="G66" s="362" t="s">
        <v>355</v>
      </c>
      <c r="H66" s="362" t="s">
        <v>207</v>
      </c>
      <c r="J66" s="765" t="s">
        <v>484</v>
      </c>
      <c r="K66" s="765"/>
      <c r="L66" s="765"/>
      <c r="M66" s="765"/>
      <c r="N66" s="765"/>
      <c r="O66" s="765"/>
      <c r="V66" s="360"/>
    </row>
    <row r="67" spans="1:22">
      <c r="A67" s="360"/>
      <c r="B67" s="148" t="s">
        <v>461</v>
      </c>
      <c r="D67" s="365" t="s">
        <v>182</v>
      </c>
      <c r="E67" s="637">
        <f>H18</f>
        <v>16.096615539999998</v>
      </c>
      <c r="F67" s="364">
        <f>'Comparable Valuation'!D17</f>
        <v>10.400353416590054</v>
      </c>
      <c r="G67" s="364">
        <f>'Comparable Valuation'!D18</f>
        <v>8.0116972541501728</v>
      </c>
      <c r="H67" s="364">
        <f>'Comparable Valuation'!D19</f>
        <v>6.621143150889047</v>
      </c>
      <c r="J67" s="765"/>
      <c r="K67" s="765"/>
      <c r="L67" s="765"/>
      <c r="M67" s="765"/>
      <c r="N67" s="765"/>
      <c r="O67" s="765"/>
      <c r="P67" s="765" t="s">
        <v>485</v>
      </c>
      <c r="Q67" s="765"/>
      <c r="R67" s="765"/>
      <c r="S67" s="765"/>
      <c r="T67" s="765"/>
      <c r="U67" s="765"/>
      <c r="V67" s="360"/>
    </row>
    <row r="68" spans="1:22">
      <c r="A68" s="360"/>
      <c r="B68" s="633" t="s">
        <v>489</v>
      </c>
      <c r="D68" s="51" t="s">
        <v>490</v>
      </c>
      <c r="E68" s="739">
        <f>'Comparable Valuation'!F12</f>
        <v>11.91465</v>
      </c>
      <c r="F68" s="740">
        <f>'Comparable Valuation'!F17</f>
        <v>9.2422096317280449</v>
      </c>
      <c r="G68" s="740">
        <f>'Comparable Valuation'!F18</f>
        <v>7.7160674778761065</v>
      </c>
      <c r="H68" s="740">
        <f>'Comparable Valuation'!F19</f>
        <v>5.9238428874734606</v>
      </c>
      <c r="V68" s="360"/>
    </row>
    <row r="69" spans="1:22">
      <c r="A69" s="360"/>
      <c r="B69" s="633" t="s">
        <v>459</v>
      </c>
      <c r="D69" s="51" t="s">
        <v>462</v>
      </c>
      <c r="E69" s="638">
        <f>'Comparable Valuation'!G12</f>
        <v>12.967879999999999</v>
      </c>
      <c r="F69" s="363">
        <f>'Comparable Valuation'!G17</f>
        <v>16.163380281690142</v>
      </c>
      <c r="G69" s="363">
        <f>'Comparable Valuation'!G18</f>
        <v>13.771170212765957</v>
      </c>
      <c r="H69" s="363">
        <f>'Comparable Valuation'!G19</f>
        <v>12.212169811320754</v>
      </c>
      <c r="V69" s="360"/>
    </row>
    <row r="70" spans="1:22">
      <c r="A70" s="360"/>
      <c r="B70" s="633" t="s">
        <v>424</v>
      </c>
      <c r="D70" s="51" t="s">
        <v>425</v>
      </c>
      <c r="E70" s="638">
        <f>'Comparable Valuation'!J12</f>
        <v>7.1375827600000008</v>
      </c>
      <c r="F70" s="363">
        <f>'Comparable Valuation'!J17</f>
        <v>48.92537313432836</v>
      </c>
      <c r="G70" s="363">
        <f>'Comparable Valuation'!J18</f>
        <v>38.146543173301318</v>
      </c>
      <c r="H70" s="363">
        <f>'Comparable Valuation'!J19</f>
        <v>30.696917742616829</v>
      </c>
      <c r="V70" s="360"/>
    </row>
    <row r="71" spans="1:22">
      <c r="A71" s="360"/>
      <c r="B71" s="634" t="s">
        <v>387</v>
      </c>
      <c r="D71" s="51" t="s">
        <v>392</v>
      </c>
      <c r="E71" s="638">
        <f>'Comparable Valuation'!K12</f>
        <v>8.9265105899999995</v>
      </c>
      <c r="F71" s="363">
        <f>'Comparable Valuation'!K17</f>
        <v>5.8336964415395789</v>
      </c>
      <c r="G71" s="363">
        <f>'Comparable Valuation'!K18</f>
        <v>4.6157776311744811</v>
      </c>
      <c r="H71" s="363">
        <f>'Comparable Valuation'!K19</f>
        <v>4.4519814326922553</v>
      </c>
      <c r="V71" s="360"/>
    </row>
    <row r="72" spans="1:22">
      <c r="A72" s="360"/>
      <c r="B72" s="764" t="s">
        <v>281</v>
      </c>
      <c r="C72" s="764"/>
      <c r="D72" s="764"/>
      <c r="E72" s="764"/>
      <c r="F72" s="764"/>
      <c r="G72" s="764"/>
      <c r="H72" s="764"/>
      <c r="V72" s="360"/>
    </row>
    <row r="73" spans="1:22">
      <c r="A73" s="360"/>
      <c r="D73" s="362" t="s">
        <v>280</v>
      </c>
      <c r="E73" s="362" t="s">
        <v>279</v>
      </c>
      <c r="F73" s="362" t="s">
        <v>278</v>
      </c>
      <c r="G73" s="362" t="s">
        <v>277</v>
      </c>
      <c r="H73" s="362" t="s">
        <v>276</v>
      </c>
      <c r="V73" s="360"/>
    </row>
    <row r="74" spans="1:22">
      <c r="A74" s="360"/>
      <c r="B74" s="21" t="s">
        <v>437</v>
      </c>
      <c r="D74" s="363">
        <f>Summary!K62</f>
        <v>0.99705122298942062</v>
      </c>
      <c r="E74" s="363">
        <f>Summary!L62</f>
        <v>0.6978206126243337</v>
      </c>
      <c r="F74" s="363">
        <f>Summary!M62</f>
        <v>1.3116138165216118</v>
      </c>
      <c r="G74" s="363">
        <f>Summary!N62</f>
        <v>1.382739149023209</v>
      </c>
      <c r="H74" s="363">
        <f>Summary!O62</f>
        <v>1.2463920048237167</v>
      </c>
      <c r="V74" s="360"/>
    </row>
    <row r="75" spans="1:22">
      <c r="A75" s="360"/>
      <c r="B75" s="21" t="s">
        <v>361</v>
      </c>
      <c r="D75" s="363">
        <f>Summary!K63</f>
        <v>21.598769475334311</v>
      </c>
      <c r="E75" s="363">
        <f>Summary!L63</f>
        <v>21.511727906519535</v>
      </c>
      <c r="F75" s="363">
        <f>Summary!M63</f>
        <v>14.641657020723754</v>
      </c>
      <c r="G75" s="363">
        <f>Summary!N63</f>
        <v>14.195507905152661</v>
      </c>
      <c r="H75" s="363">
        <f>Summary!O63</f>
        <v>16.623677529208909</v>
      </c>
      <c r="V75" s="360"/>
    </row>
    <row r="76" spans="1:22">
      <c r="A76" s="360"/>
      <c r="B76" s="359" t="s">
        <v>438</v>
      </c>
      <c r="C76" s="359"/>
      <c r="D76" s="800">
        <f>Summary!K64</f>
        <v>1.8641652154754684</v>
      </c>
      <c r="E76" s="800">
        <f>Summary!L64</f>
        <v>1.8980284667884755</v>
      </c>
      <c r="F76" s="800">
        <f>Summary!M64</f>
        <v>2.3779787826688707</v>
      </c>
      <c r="G76" s="800">
        <f>Summary!N64</f>
        <v>3.0042445375384959</v>
      </c>
      <c r="H76" s="800">
        <f>Summary!O64</f>
        <v>3.6509280872216059</v>
      </c>
      <c r="I76" s="359"/>
      <c r="J76" s="359"/>
      <c r="K76" s="359"/>
      <c r="L76" s="359"/>
      <c r="M76" s="359"/>
      <c r="N76" s="359"/>
      <c r="O76" s="359"/>
      <c r="P76" s="359"/>
      <c r="Q76" s="359"/>
      <c r="R76" s="359"/>
      <c r="S76" s="359"/>
      <c r="T76" s="359"/>
      <c r="U76" s="359"/>
      <c r="V76" s="360"/>
    </row>
    <row r="77" spans="1:22">
      <c r="V77" s="655"/>
    </row>
  </sheetData>
  <mergeCells count="20">
    <mergeCell ref="B72:H72"/>
    <mergeCell ref="B58:H58"/>
    <mergeCell ref="J7:U7"/>
    <mergeCell ref="B13:H13"/>
    <mergeCell ref="B20:H20"/>
    <mergeCell ref="J20:U20"/>
    <mergeCell ref="B35:H35"/>
    <mergeCell ref="B51:H51"/>
    <mergeCell ref="B65:H65"/>
    <mergeCell ref="B27:H27"/>
    <mergeCell ref="J45:U45"/>
    <mergeCell ref="J54:U54"/>
    <mergeCell ref="J60:U60"/>
    <mergeCell ref="P67:U67"/>
    <mergeCell ref="J66:O67"/>
    <mergeCell ref="B2:U2"/>
    <mergeCell ref="B3:U3"/>
    <mergeCell ref="B4:U4"/>
    <mergeCell ref="B6:U6"/>
    <mergeCell ref="B5:V5"/>
  </mergeCells>
  <conditionalFormatting sqref="B71">
    <cfRule type="containsText" dxfId="24" priority="1" operator="containsText" text="&quot;&quot;">
      <formula>NOT(ISERROR(SEARCH("""""",B71)))</formula>
    </cfRule>
  </conditionalFormatting>
  <pageMargins left="0.7" right="0.7" top="0.75" bottom="0.75" header="0.3" footer="0.3"/>
  <pageSetup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B68D-B750-4EFC-8223-262A1C37030B}">
  <sheetPr>
    <tabColor rgb="FFFF0000"/>
  </sheetPr>
  <dimension ref="A1:R76"/>
  <sheetViews>
    <sheetView showGridLines="0" zoomScale="80" zoomScaleNormal="80" workbookViewId="0">
      <pane ySplit="5" topLeftCell="A6" activePane="bottomLeft" state="frozen"/>
      <selection pane="bottomLeft"/>
    </sheetView>
  </sheetViews>
  <sheetFormatPr defaultColWidth="0" defaultRowHeight="0" customHeight="1" zeroHeight="1"/>
  <cols>
    <col min="1" max="1" width="1.7109375" style="21" customWidth="1"/>
    <col min="2" max="2" width="32.28515625" style="21" customWidth="1"/>
    <col min="3" max="3" width="2.7109375" style="21" customWidth="1"/>
    <col min="4" max="4" width="12.7109375" style="21" customWidth="1"/>
    <col min="5" max="5" width="2.7109375" style="21" customWidth="1"/>
    <col min="6" max="6" width="12.7109375" style="21" customWidth="1"/>
    <col min="7" max="7" width="2.7109375" style="21" customWidth="1"/>
    <col min="8" max="17" width="12.85546875" style="21" customWidth="1"/>
    <col min="18" max="18" width="0.7109375" style="21" customWidth="1"/>
    <col min="19" max="16384" width="0" style="21" hidden="1"/>
  </cols>
  <sheetData>
    <row r="1" spans="2:17" ht="9.9499999999999993" customHeight="1">
      <c r="B1" s="30"/>
      <c r="C1" s="395"/>
      <c r="D1" s="395"/>
      <c r="E1" s="395"/>
      <c r="F1" s="395"/>
      <c r="G1" s="395"/>
      <c r="H1" s="395"/>
      <c r="I1" s="395"/>
      <c r="J1" s="395"/>
      <c r="K1" s="395"/>
      <c r="L1" s="395"/>
      <c r="M1" s="395"/>
      <c r="N1" s="395"/>
      <c r="O1" s="395"/>
      <c r="P1" s="395"/>
      <c r="Q1" s="817"/>
    </row>
    <row r="2" spans="2:17" ht="16.5">
      <c r="B2" s="25"/>
      <c r="C2" s="818"/>
      <c r="D2" s="767" t="s">
        <v>302</v>
      </c>
      <c r="E2" s="767"/>
      <c r="F2" s="767"/>
      <c r="G2" s="818"/>
      <c r="H2" s="819" t="s">
        <v>229</v>
      </c>
      <c r="I2" s="819" t="s">
        <v>350</v>
      </c>
      <c r="J2" s="819" t="s">
        <v>349</v>
      </c>
      <c r="K2" s="819" t="s">
        <v>348</v>
      </c>
      <c r="L2" s="819" t="s">
        <v>347</v>
      </c>
      <c r="M2" s="819" t="s">
        <v>346</v>
      </c>
      <c r="N2" s="819" t="s">
        <v>345</v>
      </c>
      <c r="O2" s="819" t="s">
        <v>344</v>
      </c>
      <c r="P2" s="819" t="s">
        <v>343</v>
      </c>
      <c r="Q2" s="514" t="s">
        <v>342</v>
      </c>
    </row>
    <row r="3" spans="2:17" ht="16.5">
      <c r="B3" s="25"/>
      <c r="C3" s="818"/>
      <c r="D3" s="820" t="s">
        <v>300</v>
      </c>
      <c r="E3" s="820"/>
      <c r="F3" s="820" t="s">
        <v>299</v>
      </c>
      <c r="G3" s="818"/>
      <c r="H3" s="818"/>
      <c r="I3" s="818"/>
      <c r="J3" s="818"/>
      <c r="K3" s="818"/>
      <c r="L3" s="818"/>
      <c r="M3" s="818"/>
      <c r="N3" s="818"/>
      <c r="O3" s="818"/>
      <c r="P3" s="818"/>
      <c r="Q3" s="682"/>
    </row>
    <row r="4" spans="2:17" ht="17.25" thickBot="1">
      <c r="B4" s="23"/>
      <c r="C4" s="392"/>
      <c r="D4" s="392"/>
      <c r="E4" s="392"/>
      <c r="F4" s="392"/>
      <c r="G4" s="392"/>
      <c r="H4" s="392"/>
      <c r="I4" s="392"/>
      <c r="J4" s="392"/>
      <c r="K4" s="392"/>
      <c r="L4" s="392"/>
      <c r="M4" s="392"/>
      <c r="N4" s="392"/>
      <c r="O4" s="392"/>
      <c r="P4" s="392"/>
      <c r="Q4" s="391"/>
    </row>
    <row r="5" spans="2:17" ht="16.5">
      <c r="B5" s="397" t="s">
        <v>341</v>
      </c>
      <c r="C5" s="509"/>
      <c r="D5" s="509"/>
      <c r="E5" s="509"/>
      <c r="F5" s="509"/>
      <c r="G5" s="509"/>
      <c r="H5" s="509"/>
      <c r="I5" s="509"/>
      <c r="J5" s="509"/>
      <c r="K5" s="509"/>
      <c r="L5" s="509"/>
      <c r="M5" s="509"/>
      <c r="N5" s="509"/>
      <c r="O5" s="509"/>
      <c r="P5" s="509"/>
      <c r="Q5" s="681"/>
    </row>
    <row r="6" spans="2:17" ht="16.5">
      <c r="B6" s="25"/>
      <c r="D6" s="361" t="s">
        <v>218</v>
      </c>
      <c r="F6" s="361" t="s">
        <v>340</v>
      </c>
      <c r="Q6" s="682"/>
    </row>
    <row r="7" spans="2:17" ht="16.5">
      <c r="B7" s="25" t="s">
        <v>429</v>
      </c>
      <c r="D7" s="683">
        <f>'DCF Valuation'!D28</f>
        <v>177.37349996964392</v>
      </c>
      <c r="F7" s="372">
        <f>0.3333</f>
        <v>0.33329999999999999</v>
      </c>
      <c r="K7" s="684"/>
      <c r="L7" s="685" t="s">
        <v>339</v>
      </c>
      <c r="M7" s="686" t="s">
        <v>429</v>
      </c>
      <c r="N7" s="686" t="s">
        <v>192</v>
      </c>
      <c r="O7" s="686" t="s">
        <v>338</v>
      </c>
      <c r="Q7" s="682"/>
    </row>
    <row r="8" spans="2:17" ht="16.5">
      <c r="B8" s="25" t="s">
        <v>222</v>
      </c>
      <c r="D8" s="683">
        <f>'Historical Valuation'!S10</f>
        <v>161.13481941287893</v>
      </c>
      <c r="F8" s="372">
        <f>0.3333</f>
        <v>0.33329999999999999</v>
      </c>
      <c r="K8" s="684" t="s">
        <v>337</v>
      </c>
      <c r="L8" s="687">
        <f>'Tear Sheet'!H16</f>
        <v>53.79</v>
      </c>
      <c r="M8" s="114">
        <f>MIN('DCF Valuation'!D35:H39)</f>
        <v>154.21649441859682</v>
      </c>
      <c r="N8" s="687">
        <f>MIN('Historical Valuation'!R5:R9)</f>
        <v>115.30691148213144</v>
      </c>
      <c r="O8" s="687">
        <f>MIN('Comparable Valuation'!P10:P13)</f>
        <v>195.15202183006505</v>
      </c>
      <c r="P8" s="687"/>
      <c r="Q8" s="682"/>
    </row>
    <row r="9" spans="2:17" ht="17.25" thickBot="1">
      <c r="B9" s="25" t="s">
        <v>430</v>
      </c>
      <c r="D9" s="683">
        <f>'Comparable Valuation'!Q14</f>
        <v>223.3587534277429</v>
      </c>
      <c r="F9" s="372">
        <f>0.3333</f>
        <v>0.33329999999999999</v>
      </c>
      <c r="K9" s="684" t="s">
        <v>336</v>
      </c>
      <c r="L9" s="687">
        <f>L10-L8</f>
        <v>103.06</v>
      </c>
      <c r="M9" s="687">
        <f>M10-M8</f>
        <v>46.25685544339612</v>
      </c>
      <c r="N9" s="687">
        <f>N10-N8</f>
        <v>288.54382480738428</v>
      </c>
      <c r="O9" s="687">
        <f>O10-O8</f>
        <v>68.678301682110373</v>
      </c>
      <c r="P9" s="687"/>
      <c r="Q9" s="682"/>
    </row>
    <row r="10" spans="2:17" ht="16.5">
      <c r="B10" s="92" t="s">
        <v>334</v>
      </c>
      <c r="C10" s="395"/>
      <c r="D10" s="395"/>
      <c r="E10" s="395"/>
      <c r="F10" s="394">
        <f>SUMPRODUCT(F7:F9,D7:D9)</f>
        <v>187.27029536766156</v>
      </c>
      <c r="K10" s="684" t="s">
        <v>335</v>
      </c>
      <c r="L10" s="687">
        <f>'Tear Sheet'!H14</f>
        <v>156.85</v>
      </c>
      <c r="M10" s="114">
        <f>MAX('DCF Valuation'!D35:H39)</f>
        <v>200.47334986199294</v>
      </c>
      <c r="N10" s="687">
        <f>MAX('Historical Valuation'!R5:R9)</f>
        <v>403.85073628951574</v>
      </c>
      <c r="O10" s="687">
        <f>MAX('Comparable Valuation'!P10:P13)</f>
        <v>263.83032351217543</v>
      </c>
      <c r="P10" s="687"/>
      <c r="Q10" s="682"/>
    </row>
    <row r="11" spans="2:17" ht="17.25" thickBot="1">
      <c r="B11" s="393" t="s">
        <v>333</v>
      </c>
      <c r="C11" s="392"/>
      <c r="D11" s="392"/>
      <c r="E11" s="392"/>
      <c r="F11" s="618">
        <f>(F10-'Tear Sheet'!H10)/'Tear Sheet'!H10</f>
        <v>0.4899379057018185</v>
      </c>
      <c r="Q11" s="682"/>
    </row>
    <row r="12" spans="2:17" ht="16.5">
      <c r="B12" s="25"/>
      <c r="Q12" s="682"/>
    </row>
    <row r="13" spans="2:17" ht="17.25" thickBot="1">
      <c r="B13" s="25"/>
      <c r="Q13" s="682"/>
    </row>
    <row r="14" spans="2:17" ht="16.5">
      <c r="B14" s="397" t="s">
        <v>165</v>
      </c>
      <c r="C14" s="398"/>
      <c r="D14" s="398"/>
      <c r="E14" s="398"/>
      <c r="F14" s="399"/>
      <c r="Q14" s="682"/>
    </row>
    <row r="15" spans="2:17" ht="16.5">
      <c r="B15" s="25" t="s">
        <v>187</v>
      </c>
      <c r="F15" s="616">
        <v>4.5600000000000002E-2</v>
      </c>
      <c r="Q15" s="682"/>
    </row>
    <row r="16" spans="2:17" ht="17.25" thickBot="1">
      <c r="B16" s="23" t="s">
        <v>332</v>
      </c>
      <c r="C16" s="392"/>
      <c r="D16" s="392"/>
      <c r="E16" s="392"/>
      <c r="F16" s="617">
        <v>4.4999999999999998E-2</v>
      </c>
      <c r="Q16" s="682"/>
    </row>
    <row r="17" spans="1:18" ht="16.5">
      <c r="B17" s="25"/>
      <c r="Q17" s="682"/>
    </row>
    <row r="18" spans="1:18" ht="16.5">
      <c r="B18" s="25"/>
      <c r="Q18" s="682"/>
    </row>
    <row r="19" spans="1:18" ht="16.5">
      <c r="B19" s="25"/>
      <c r="Q19" s="682"/>
    </row>
    <row r="20" spans="1:18" ht="16.5">
      <c r="B20" s="688" t="s">
        <v>331</v>
      </c>
      <c r="C20" s="202"/>
      <c r="D20" s="202"/>
      <c r="E20" s="202"/>
      <c r="F20" s="202"/>
      <c r="G20" s="202"/>
      <c r="H20" s="202"/>
      <c r="I20" s="202"/>
      <c r="J20" s="202"/>
      <c r="K20" s="202"/>
      <c r="L20" s="202"/>
      <c r="M20" s="202"/>
      <c r="N20" s="202"/>
      <c r="O20" s="202"/>
      <c r="P20" s="202"/>
      <c r="Q20" s="689"/>
    </row>
    <row r="21" spans="1:18" ht="16.5">
      <c r="B21" s="690" t="s">
        <v>298</v>
      </c>
      <c r="C21" s="691"/>
      <c r="D21" s="692"/>
      <c r="E21" s="693"/>
      <c r="F21" s="692"/>
      <c r="G21" s="691"/>
      <c r="H21" s="694">
        <f>'Operating Model'!G4</f>
        <v>7724771</v>
      </c>
      <c r="I21" s="694">
        <f>'Operating Model'!M4</f>
        <v>7280431</v>
      </c>
      <c r="J21" s="694">
        <f>'Operating Model'!S4</f>
        <v>8558874</v>
      </c>
      <c r="K21" s="694">
        <f>'Operating Model'!Y4</f>
        <v>19893856</v>
      </c>
      <c r="L21" s="694">
        <f>'Operating Model'!AE4</f>
        <v>22726418</v>
      </c>
      <c r="M21" s="694">
        <f>'Operating Model'!AK4</f>
        <v>17318407.350000001</v>
      </c>
      <c r="N21" s="694">
        <f>'Operating Model'!AQ4</f>
        <v>19134960.146000002</v>
      </c>
      <c r="O21" s="694">
        <f>'Operating Model'!AW4</f>
        <v>21450720.161899999</v>
      </c>
      <c r="P21" s="694">
        <f>'Operating Model'!BC4</f>
        <v>22980389.663518522</v>
      </c>
      <c r="Q21" s="695">
        <f>'Operating Model'!BI4</f>
        <v>24927687.28622143</v>
      </c>
    </row>
    <row r="22" spans="1:18" ht="16.5">
      <c r="B22" s="696" t="s">
        <v>330</v>
      </c>
      <c r="C22" s="697"/>
      <c r="D22" s="698">
        <f>_xlfn.RRI(4,H21,L21)</f>
        <v>0.3096683857337581</v>
      </c>
      <c r="E22" s="699"/>
      <c r="F22" s="700">
        <f>_xlfn.RRI(4,M21,Q21)</f>
        <v>9.5326283961482572E-2</v>
      </c>
      <c r="G22" s="697"/>
      <c r="H22" s="697"/>
      <c r="I22" s="701">
        <f>I21/H21-1</f>
        <v>-5.7521446266821319E-2</v>
      </c>
      <c r="J22" s="701">
        <f t="shared" ref="J22:Q22" si="0">J21/I21-1</f>
        <v>0.17559990610445997</v>
      </c>
      <c r="K22" s="701">
        <f t="shared" si="0"/>
        <v>1.3243543484808864</v>
      </c>
      <c r="L22" s="701">
        <f t="shared" si="0"/>
        <v>0.14238375908622247</v>
      </c>
      <c r="M22" s="701">
        <f t="shared" si="0"/>
        <v>-0.23796141785300251</v>
      </c>
      <c r="N22" s="701">
        <f t="shared" si="0"/>
        <v>0.10489144638349202</v>
      </c>
      <c r="O22" s="701">
        <f t="shared" si="0"/>
        <v>0.12102246350296619</v>
      </c>
      <c r="P22" s="701">
        <f t="shared" si="0"/>
        <v>7.1310869288923273E-2</v>
      </c>
      <c r="Q22" s="702">
        <f t="shared" si="0"/>
        <v>8.4737363082848516E-2</v>
      </c>
    </row>
    <row r="23" spans="1:18" ht="16.5">
      <c r="B23" s="690" t="s">
        <v>440</v>
      </c>
      <c r="C23" s="691"/>
      <c r="D23" s="692"/>
      <c r="E23" s="693"/>
      <c r="F23" s="692"/>
      <c r="G23" s="691"/>
      <c r="H23" s="694">
        <f>'Operating Model'!G5</f>
        <v>5801831</v>
      </c>
      <c r="I23" s="694">
        <f>'Operating Model'!M5</f>
        <v>5303602</v>
      </c>
      <c r="J23" s="694">
        <f>'Operating Model'!S5</f>
        <v>6336290</v>
      </c>
      <c r="K23" s="694">
        <f>'Operating Model'!Y5</f>
        <v>14042900</v>
      </c>
      <c r="L23" s="694">
        <f>'Operating Model'!AE5</f>
        <v>14982039</v>
      </c>
      <c r="M23" s="694">
        <f>'Operating Model'!AK5</f>
        <v>11211184.19686643</v>
      </c>
      <c r="N23" s="694">
        <f>'Operating Model'!AQ5</f>
        <v>12846672.708947401</v>
      </c>
      <c r="O23" s="694">
        <f>'Operating Model'!AW5</f>
        <v>14685407.740825806</v>
      </c>
      <c r="P23" s="694">
        <f>'Operating Model'!BC5</f>
        <v>15290668.167160835</v>
      </c>
      <c r="Q23" s="695">
        <f>'Operating Model'!BI5</f>
        <v>16586490.212712564</v>
      </c>
    </row>
    <row r="24" spans="1:18" ht="16.5">
      <c r="B24" s="696" t="s">
        <v>329</v>
      </c>
      <c r="C24" s="697"/>
      <c r="D24" s="698">
        <f>_xlfn.RRI(4,H23,L23)</f>
        <v>0.26765613403125976</v>
      </c>
      <c r="E24" s="699"/>
      <c r="F24" s="700">
        <f>_xlfn.RRI(4,M23,Q23)</f>
        <v>0.10287362860776095</v>
      </c>
      <c r="G24" s="697"/>
      <c r="H24" s="697"/>
      <c r="I24" s="701">
        <f>I23/I21</f>
        <v>0.72847363020128886</v>
      </c>
      <c r="J24" s="701">
        <f t="shared" ref="J24:Q24" si="1">J23/J21</f>
        <v>0.74031817736772387</v>
      </c>
      <c r="K24" s="701">
        <f t="shared" si="1"/>
        <v>0.70589130634101305</v>
      </c>
      <c r="L24" s="701">
        <f t="shared" si="1"/>
        <v>0.65923450849139531</v>
      </c>
      <c r="M24" s="701">
        <f t="shared" si="1"/>
        <v>0.64735653633106338</v>
      </c>
      <c r="N24" s="701">
        <f t="shared" si="1"/>
        <v>0.67137180380450845</v>
      </c>
      <c r="O24" s="701">
        <f t="shared" si="1"/>
        <v>0.68461140838103429</v>
      </c>
      <c r="P24" s="701">
        <f t="shared" si="1"/>
        <v>0.66537897707778404</v>
      </c>
      <c r="Q24" s="702">
        <f t="shared" si="1"/>
        <v>0.66538423810702274</v>
      </c>
    </row>
    <row r="25" spans="1:18" ht="16.5">
      <c r="B25" s="690" t="s">
        <v>98</v>
      </c>
      <c r="C25" s="703"/>
      <c r="D25" s="704"/>
      <c r="E25" s="705"/>
      <c r="F25" s="706"/>
      <c r="G25" s="703"/>
      <c r="H25" s="694">
        <f>H21-H23</f>
        <v>1922940</v>
      </c>
      <c r="I25" s="694">
        <f t="shared" ref="I25:Q25" si="2">I21-I23</f>
        <v>1976829</v>
      </c>
      <c r="J25" s="694">
        <f t="shared" si="2"/>
        <v>2222584</v>
      </c>
      <c r="K25" s="694">
        <f t="shared" si="2"/>
        <v>5850956</v>
      </c>
      <c r="L25" s="694">
        <f t="shared" si="2"/>
        <v>7744379</v>
      </c>
      <c r="M25" s="694">
        <f t="shared" si="2"/>
        <v>6107223.1531335711</v>
      </c>
      <c r="N25" s="694">
        <f t="shared" si="2"/>
        <v>6288287.4370526001</v>
      </c>
      <c r="O25" s="694">
        <f t="shared" si="2"/>
        <v>6765312.421074193</v>
      </c>
      <c r="P25" s="694">
        <f t="shared" si="2"/>
        <v>7689721.4963576868</v>
      </c>
      <c r="Q25" s="695">
        <f t="shared" si="2"/>
        <v>8341197.0735088661</v>
      </c>
    </row>
    <row r="26" spans="1:18" ht="16.5">
      <c r="B26" s="696" t="s">
        <v>441</v>
      </c>
      <c r="C26" s="697"/>
      <c r="D26" s="698">
        <f>_xlfn.RRI(4,H25,L25)</f>
        <v>0.41662602589776965</v>
      </c>
      <c r="E26" s="699"/>
      <c r="F26" s="700">
        <f>_xlfn.RRI(4,M25,Q25)</f>
        <v>8.1050913951480119E-2</v>
      </c>
      <c r="G26" s="697"/>
      <c r="H26" s="697"/>
      <c r="I26" s="701">
        <f t="shared" ref="I26:Q26" si="3">I25/H25-1</f>
        <v>2.8024275328403458E-2</v>
      </c>
      <c r="J26" s="701">
        <f t="shared" si="3"/>
        <v>0.12431778368285773</v>
      </c>
      <c r="K26" s="701">
        <f t="shared" si="3"/>
        <v>1.6325016287348419</v>
      </c>
      <c r="L26" s="701">
        <f t="shared" si="3"/>
        <v>0.32360916745912971</v>
      </c>
      <c r="M26" s="701">
        <f t="shared" si="3"/>
        <v>-0.21139924154879675</v>
      </c>
      <c r="N26" s="701">
        <f t="shared" si="3"/>
        <v>2.9647563119766795E-2</v>
      </c>
      <c r="O26" s="701">
        <f t="shared" si="3"/>
        <v>7.5859284232271174E-2</v>
      </c>
      <c r="P26" s="701">
        <f t="shared" si="3"/>
        <v>0.13663952493959131</v>
      </c>
      <c r="Q26" s="702">
        <f t="shared" si="3"/>
        <v>8.4720308461074589E-2</v>
      </c>
    </row>
    <row r="27" spans="1:18" ht="16.5">
      <c r="B27" s="707" t="s">
        <v>442</v>
      </c>
      <c r="C27" s="703"/>
      <c r="D27" s="704"/>
      <c r="E27" s="705"/>
      <c r="F27" s="706"/>
      <c r="G27" s="703"/>
      <c r="H27" s="703"/>
      <c r="I27" s="708">
        <f>I25/I21</f>
        <v>0.27152636979871109</v>
      </c>
      <c r="J27" s="708">
        <f t="shared" ref="J27:Q27" si="4">J25/J21</f>
        <v>0.25968182263227618</v>
      </c>
      <c r="K27" s="708">
        <f t="shared" si="4"/>
        <v>0.29410869365898695</v>
      </c>
      <c r="L27" s="708">
        <f t="shared" si="4"/>
        <v>0.34076549150860463</v>
      </c>
      <c r="M27" s="708">
        <f t="shared" si="4"/>
        <v>0.35264346366893667</v>
      </c>
      <c r="N27" s="708">
        <f t="shared" si="4"/>
        <v>0.32862819619549155</v>
      </c>
      <c r="O27" s="708">
        <f t="shared" si="4"/>
        <v>0.31538859161896571</v>
      </c>
      <c r="P27" s="708">
        <f t="shared" si="4"/>
        <v>0.33462102292221602</v>
      </c>
      <c r="Q27" s="709">
        <f t="shared" si="4"/>
        <v>0.33461576189297726</v>
      </c>
    </row>
    <row r="28" spans="1:18" ht="16.5">
      <c r="A28" s="18"/>
      <c r="B28" s="273" t="s">
        <v>108</v>
      </c>
      <c r="C28" s="710"/>
      <c r="D28" s="711"/>
      <c r="E28" s="712"/>
      <c r="F28" s="713"/>
      <c r="G28" s="710"/>
      <c r="H28" s="714">
        <f>'Operating Model'!G11</f>
        <v>368968</v>
      </c>
      <c r="I28" s="714">
        <f>'Operating Model'!M11</f>
        <v>392306</v>
      </c>
      <c r="J28" s="714">
        <f>'Operating Model'!S11</f>
        <v>543854</v>
      </c>
      <c r="K28" s="714">
        <f>'Operating Model'!Y11</f>
        <v>2387424</v>
      </c>
      <c r="L28" s="714">
        <f>'Operating Model'!AE11</f>
        <v>3770206</v>
      </c>
      <c r="M28" s="714">
        <f>'Operating Model'!AK11</f>
        <v>2250345.3113527959</v>
      </c>
      <c r="N28" s="714">
        <f>'Operating Model'!AQ11</f>
        <v>2054492.8757574796</v>
      </c>
      <c r="O28" s="714">
        <f>'Operating Model'!AW11</f>
        <v>2445299.3674540962</v>
      </c>
      <c r="P28" s="714">
        <f>'Operating Model'!BC11</f>
        <v>3121513.6468011606</v>
      </c>
      <c r="Q28" s="247">
        <f>'Operating Model'!BI11</f>
        <v>3379406.277852681</v>
      </c>
      <c r="R28" s="18"/>
    </row>
    <row r="29" spans="1:18" s="18" customFormat="1" ht="16.5">
      <c r="A29" s="21"/>
      <c r="B29" s="707" t="s">
        <v>431</v>
      </c>
      <c r="C29" s="703"/>
      <c r="D29" s="715">
        <f>_xlfn.RRI(4,H28,L28)</f>
        <v>0.78790358221484591</v>
      </c>
      <c r="E29" s="705"/>
      <c r="F29" s="706">
        <f>_xlfn.RRI(4,M28,Q28)</f>
        <v>0.1070004830855551</v>
      </c>
      <c r="G29" s="703"/>
      <c r="H29" s="703"/>
      <c r="I29" s="708">
        <f>I28/H28-1</f>
        <v>6.3252097742893643E-2</v>
      </c>
      <c r="J29" s="708">
        <f t="shared" ref="J29" si="5">J28/I28-1</f>
        <v>0.38630048992368193</v>
      </c>
      <c r="K29" s="708">
        <f>-(K28/J28-1)</f>
        <v>-3.3898252104425088</v>
      </c>
      <c r="L29" s="708">
        <f>-(L28/K28-1)</f>
        <v>-0.57919414398112767</v>
      </c>
      <c r="M29" s="708">
        <f t="shared" ref="M29:Q29" si="6">M28/L28-1</f>
        <v>-0.40312404379156053</v>
      </c>
      <c r="N29" s="708">
        <f t="shared" si="6"/>
        <v>-8.7032169955098881E-2</v>
      </c>
      <c r="O29" s="708">
        <f t="shared" si="6"/>
        <v>0.19022041707130688</v>
      </c>
      <c r="P29" s="708">
        <f t="shared" si="6"/>
        <v>0.27653639809799624</v>
      </c>
      <c r="Q29" s="709">
        <f t="shared" si="6"/>
        <v>8.2617813097117576E-2</v>
      </c>
      <c r="R29" s="21"/>
    </row>
    <row r="30" spans="1:18" ht="16.5">
      <c r="A30" s="18"/>
      <c r="B30" s="716" t="s">
        <v>360</v>
      </c>
      <c r="C30" s="710"/>
      <c r="D30" s="711"/>
      <c r="E30" s="712"/>
      <c r="F30" s="713"/>
      <c r="G30" s="710"/>
      <c r="H30" s="710"/>
      <c r="I30" s="717">
        <f>I28/I21</f>
        <v>5.3884996643742661E-2</v>
      </c>
      <c r="J30" s="717">
        <f t="shared" ref="J30:Q30" si="7">J28/J21</f>
        <v>6.3542704332368957E-2</v>
      </c>
      <c r="K30" s="717">
        <f t="shared" si="7"/>
        <v>0.1200081070256063</v>
      </c>
      <c r="L30" s="717">
        <f t="shared" si="7"/>
        <v>0.16589530299055488</v>
      </c>
      <c r="M30" s="717">
        <f t="shared" si="7"/>
        <v>0.12993950690002656</v>
      </c>
      <c r="N30" s="717">
        <f t="shared" si="7"/>
        <v>0.10736854741696202</v>
      </c>
      <c r="O30" s="717">
        <f t="shared" si="7"/>
        <v>0.11399614320629428</v>
      </c>
      <c r="P30" s="717">
        <f t="shared" si="7"/>
        <v>0.1358337997095227</v>
      </c>
      <c r="Q30" s="718">
        <f t="shared" si="7"/>
        <v>0.13556838382358155</v>
      </c>
      <c r="R30" s="18"/>
    </row>
    <row r="31" spans="1:18" s="18" customFormat="1" ht="16.5">
      <c r="B31" s="690" t="s">
        <v>219</v>
      </c>
      <c r="C31" s="691"/>
      <c r="D31" s="692"/>
      <c r="E31" s="693"/>
      <c r="F31" s="692"/>
      <c r="G31" s="691"/>
      <c r="H31" s="694">
        <f>'Operating Model'!G9</f>
        <v>466874</v>
      </c>
      <c r="I31" s="694">
        <f>'Operating Model'!M9</f>
        <v>492344</v>
      </c>
      <c r="J31" s="694">
        <f>'Operating Model'!S9</f>
        <v>660420</v>
      </c>
      <c r="K31" s="694">
        <f>'Operating Model'!Y9</f>
        <v>2934776</v>
      </c>
      <c r="L31" s="694">
        <f>'Operating Model'!AE9</f>
        <v>4267346</v>
      </c>
      <c r="M31" s="694">
        <f>'Operating Model'!AK9</f>
        <v>2801673.7500869799</v>
      </c>
      <c r="N31" s="694">
        <f>'Operating Model'!AQ9</f>
        <v>2657561.2635223945</v>
      </c>
      <c r="O31" s="694">
        <f>'Operating Model'!AW9</f>
        <v>2948281.1072105141</v>
      </c>
      <c r="P31" s="694">
        <f>'Operating Model'!BC9</f>
        <v>3698044.6290828539</v>
      </c>
      <c r="Q31" s="695">
        <f>'Operating Model'!BI9</f>
        <v>4051186.9877072135</v>
      </c>
    </row>
    <row r="32" spans="1:18" s="18" customFormat="1" ht="16.5">
      <c r="B32" s="716" t="s">
        <v>328</v>
      </c>
      <c r="C32" s="710"/>
      <c r="D32" s="711">
        <f>_xlfn.RRI(4,H31,L31)</f>
        <v>0.73875960501616333</v>
      </c>
      <c r="E32" s="712"/>
      <c r="F32" s="713">
        <f>_xlfn.RRI(4,M31,Q31)</f>
        <v>9.6582174674421761E-2</v>
      </c>
      <c r="G32" s="710"/>
      <c r="H32" s="710"/>
      <c r="I32" s="717">
        <f>I31/H31-1</f>
        <v>5.4554333717448333E-2</v>
      </c>
      <c r="J32" s="717">
        <f t="shared" ref="J32:Q32" si="8">J31/I31-1</f>
        <v>0.34137919828412655</v>
      </c>
      <c r="K32" s="717">
        <f>-(K31/J31-1)</f>
        <v>-3.4438024287574578</v>
      </c>
      <c r="L32" s="717">
        <f>-(L31/K31-1)</f>
        <v>-0.45406191136904495</v>
      </c>
      <c r="M32" s="717">
        <f t="shared" si="8"/>
        <v>-0.34346224794357427</v>
      </c>
      <c r="N32" s="717">
        <f t="shared" si="8"/>
        <v>-5.1437997218666709E-2</v>
      </c>
      <c r="O32" s="717">
        <f t="shared" si="8"/>
        <v>0.1093934682441875</v>
      </c>
      <c r="P32" s="717">
        <f t="shared" si="8"/>
        <v>0.25430530353386849</v>
      </c>
      <c r="Q32" s="718">
        <f t="shared" si="8"/>
        <v>9.549434743083185E-2</v>
      </c>
    </row>
    <row r="33" spans="1:18" s="18" customFormat="1" ht="16.5">
      <c r="B33" s="707" t="s">
        <v>297</v>
      </c>
      <c r="C33" s="703"/>
      <c r="D33" s="705"/>
      <c r="E33" s="705"/>
      <c r="F33" s="706"/>
      <c r="G33" s="703"/>
      <c r="H33" s="703"/>
      <c r="I33" s="708">
        <f t="shared" ref="I33:Q33" si="9">I31/I21</f>
        <v>6.7625666667261872E-2</v>
      </c>
      <c r="J33" s="708">
        <f t="shared" si="9"/>
        <v>7.7162019209536206E-2</v>
      </c>
      <c r="K33" s="708">
        <f t="shared" si="9"/>
        <v>0.14752172731118593</v>
      </c>
      <c r="L33" s="708">
        <f t="shared" si="9"/>
        <v>0.18777028566490328</v>
      </c>
      <c r="M33" s="708">
        <f t="shared" si="9"/>
        <v>0.16177433025254367</v>
      </c>
      <c r="N33" s="708">
        <f t="shared" si="9"/>
        <v>0.13888512143454529</v>
      </c>
      <c r="O33" s="708">
        <f t="shared" si="9"/>
        <v>0.13744438811183343</v>
      </c>
      <c r="P33" s="708">
        <f t="shared" si="9"/>
        <v>0.16092175473218878</v>
      </c>
      <c r="Q33" s="709">
        <f t="shared" si="9"/>
        <v>0.16251756294882891</v>
      </c>
    </row>
    <row r="34" spans="1:18" s="18" customFormat="1" ht="16.5">
      <c r="B34" s="273" t="s">
        <v>296</v>
      </c>
      <c r="D34" s="719"/>
      <c r="E34" s="274"/>
      <c r="F34" s="719"/>
      <c r="H34" s="714">
        <f>'Operating Model'!G17</f>
        <v>205191</v>
      </c>
      <c r="I34" s="714">
        <f>'Operating Model'!M17</f>
        <v>221809</v>
      </c>
      <c r="J34" s="714">
        <f>'Operating Model'!S17</f>
        <v>313537</v>
      </c>
      <c r="K34" s="714">
        <f>'Operating Model'!Y17</f>
        <v>1725416</v>
      </c>
      <c r="L34" s="714">
        <f>'Operating Model'!AE17</f>
        <v>2749369</v>
      </c>
      <c r="M34" s="714">
        <f>'Operating Model'!AK17</f>
        <v>1602062.7261901852</v>
      </c>
      <c r="N34" s="714">
        <f>'Operating Model'!AQ17</f>
        <v>1453052.6920234831</v>
      </c>
      <c r="O34" s="714">
        <f>'Operating Model'!AW17</f>
        <v>1764834.9947258411</v>
      </c>
      <c r="P34" s="714">
        <f>'Operating Model'!BC17</f>
        <v>2292549.1675027558</v>
      </c>
      <c r="Q34" s="247">
        <f>'Operating Model'!BI17</f>
        <v>2493604.4863799764</v>
      </c>
    </row>
    <row r="35" spans="1:18" s="18" customFormat="1" ht="16.5">
      <c r="B35" s="707" t="s">
        <v>327</v>
      </c>
      <c r="C35" s="703"/>
      <c r="D35" s="715">
        <f>_xlfn.RRI(4,H34,L34)</f>
        <v>0.91323660264256201</v>
      </c>
      <c r="E35" s="705"/>
      <c r="F35" s="706">
        <f>_xlfn.RRI(4,M34,Q34)</f>
        <v>0.11695843873186873</v>
      </c>
      <c r="G35" s="703"/>
      <c r="H35" s="703"/>
      <c r="I35" s="708">
        <f>I34/H34-1</f>
        <v>8.0987957561491575E-2</v>
      </c>
      <c r="J35" s="708">
        <f t="shared" ref="J35:Q35" si="10">J34/I34-1</f>
        <v>0.41354498690314645</v>
      </c>
      <c r="K35" s="708">
        <f>-(K34/J34-1)</f>
        <v>-4.5030698131321021</v>
      </c>
      <c r="L35" s="708">
        <f>-(L34/K34-1)</f>
        <v>-0.59345282528966936</v>
      </c>
      <c r="M35" s="708">
        <f t="shared" si="10"/>
        <v>-0.41729803231571128</v>
      </c>
      <c r="N35" s="708">
        <f t="shared" si="10"/>
        <v>-9.3011360748063932E-2</v>
      </c>
      <c r="O35" s="708">
        <f t="shared" si="10"/>
        <v>0.21457054132577813</v>
      </c>
      <c r="P35" s="708">
        <f t="shared" si="10"/>
        <v>0.2990161541186418</v>
      </c>
      <c r="Q35" s="709">
        <f t="shared" si="10"/>
        <v>8.7699457759602861E-2</v>
      </c>
    </row>
    <row r="36" spans="1:18" s="18" customFormat="1" ht="16.5">
      <c r="B36" s="716" t="s">
        <v>326</v>
      </c>
      <c r="C36" s="710"/>
      <c r="D36" s="712"/>
      <c r="E36" s="712"/>
      <c r="F36" s="713"/>
      <c r="G36" s="710"/>
      <c r="H36" s="710"/>
      <c r="I36" s="717">
        <f t="shared" ref="I36:Q36" si="11">I34/I21</f>
        <v>3.0466465515571813E-2</v>
      </c>
      <c r="J36" s="717">
        <f t="shared" si="11"/>
        <v>3.6632972982193687E-2</v>
      </c>
      <c r="K36" s="717">
        <f t="shared" si="11"/>
        <v>8.6731099290152699E-2</v>
      </c>
      <c r="L36" s="717">
        <f t="shared" si="11"/>
        <v>0.12097678569495642</v>
      </c>
      <c r="M36" s="717">
        <f t="shared" si="11"/>
        <v>9.2506354297653415E-2</v>
      </c>
      <c r="N36" s="717">
        <f t="shared" si="11"/>
        <v>7.5937063936202198E-2</v>
      </c>
      <c r="O36" s="717">
        <f t="shared" si="11"/>
        <v>8.2273927467501895E-2</v>
      </c>
      <c r="P36" s="717">
        <f t="shared" si="11"/>
        <v>9.9761109409828172E-2</v>
      </c>
      <c r="Q36" s="718">
        <f t="shared" si="11"/>
        <v>0.10003352728828138</v>
      </c>
    </row>
    <row r="37" spans="1:18" s="18" customFormat="1" ht="16.5">
      <c r="B37" s="690" t="s">
        <v>325</v>
      </c>
      <c r="C37" s="691"/>
      <c r="D37" s="692"/>
      <c r="E37" s="693"/>
      <c r="F37" s="692"/>
      <c r="G37" s="691"/>
      <c r="H37" s="720">
        <f>'Operating Model'!G21</f>
        <v>1.7601884632615892</v>
      </c>
      <c r="I37" s="720">
        <f>'Operating Model'!M21</f>
        <v>1.8964727852430803</v>
      </c>
      <c r="J37" s="720">
        <f>'Operating Model'!S21</f>
        <v>2.6606649567143603</v>
      </c>
      <c r="K37" s="720">
        <f>'Operating Model'!Y21</f>
        <v>8.4757615018087762</v>
      </c>
      <c r="L37" s="720">
        <f>'Operating Model'!AE21</f>
        <v>16.817666884836768</v>
      </c>
      <c r="M37" s="720">
        <f>'Operating Model'!AK21</f>
        <v>12.348632819933501</v>
      </c>
      <c r="N37" s="720">
        <f>'Operating Model'!AQ21</f>
        <v>11.508708651542303</v>
      </c>
      <c r="O37" s="720">
        <f>'Operating Model'!AW21</f>
        <v>14.030149686864583</v>
      </c>
      <c r="P37" s="720">
        <f>'Operating Model'!BC21</f>
        <v>18.225391087939698</v>
      </c>
      <c r="Q37" s="721">
        <f>'Operating Model'!BI21</f>
        <v>19.82374800380871</v>
      </c>
    </row>
    <row r="38" spans="1:18" s="18" customFormat="1" ht="16.5">
      <c r="B38" s="716" t="s">
        <v>324</v>
      </c>
      <c r="C38" s="710"/>
      <c r="D38" s="711">
        <f>_xlfn.RRI(4,H37,L37)</f>
        <v>0.7581326691289747</v>
      </c>
      <c r="E38" s="712"/>
      <c r="F38" s="713">
        <f>_xlfn.RRI(4,M37,Q37)</f>
        <v>0.12561979715794114</v>
      </c>
      <c r="G38" s="710"/>
      <c r="H38" s="710"/>
      <c r="I38" s="717">
        <f>I37/H37-1</f>
        <v>7.7425982970573237E-2</v>
      </c>
      <c r="J38" s="717">
        <f t="shared" ref="J38:Q38" si="12">J37/I37-1</f>
        <v>0.40295446231427445</v>
      </c>
      <c r="K38" s="717">
        <f t="shared" si="12"/>
        <v>2.1855801612373793</v>
      </c>
      <c r="L38" s="717">
        <f t="shared" si="12"/>
        <v>0.98420718672272467</v>
      </c>
      <c r="M38" s="717">
        <f t="shared" si="12"/>
        <v>-0.26573448597276361</v>
      </c>
      <c r="N38" s="717">
        <f t="shared" si="12"/>
        <v>-6.8017583860406683E-2</v>
      </c>
      <c r="O38" s="717">
        <f t="shared" si="12"/>
        <v>0.21908983115880476</v>
      </c>
      <c r="P38" s="717">
        <f t="shared" si="12"/>
        <v>0.2990161541186418</v>
      </c>
      <c r="Q38" s="718">
        <f t="shared" si="12"/>
        <v>8.7699457759602861E-2</v>
      </c>
    </row>
    <row r="39" spans="1:18" s="18" customFormat="1" ht="16.5">
      <c r="A39" s="21"/>
      <c r="B39" s="25"/>
      <c r="C39" s="21"/>
      <c r="D39" s="21"/>
      <c r="E39" s="21"/>
      <c r="F39" s="21"/>
      <c r="G39" s="21"/>
      <c r="H39" s="21"/>
      <c r="I39" s="21"/>
      <c r="J39" s="21"/>
      <c r="K39" s="21"/>
      <c r="L39" s="21"/>
      <c r="M39" s="21"/>
      <c r="N39" s="21"/>
      <c r="O39" s="21"/>
      <c r="P39" s="21"/>
      <c r="Q39" s="682"/>
      <c r="R39" s="21"/>
    </row>
    <row r="40" spans="1:18" s="19" customFormat="1" ht="16.5">
      <c r="A40" s="21"/>
      <c r="B40" s="688" t="s">
        <v>213</v>
      </c>
      <c r="C40" s="202"/>
      <c r="D40" s="202"/>
      <c r="E40" s="202"/>
      <c r="F40" s="202"/>
      <c r="G40" s="202"/>
      <c r="H40" s="202"/>
      <c r="I40" s="202"/>
      <c r="J40" s="202"/>
      <c r="K40" s="202"/>
      <c r="L40" s="202"/>
      <c r="M40" s="202"/>
      <c r="N40" s="202"/>
      <c r="O40" s="202"/>
      <c r="P40" s="202"/>
      <c r="Q40" s="689"/>
      <c r="R40" s="21"/>
    </row>
    <row r="41" spans="1:18" ht="16.5">
      <c r="B41" s="722" t="s">
        <v>323</v>
      </c>
      <c r="C41" s="691"/>
      <c r="D41" s="691"/>
      <c r="E41" s="691"/>
      <c r="F41" s="691"/>
      <c r="G41" s="691"/>
      <c r="H41" s="723">
        <f>'Operating Model'!G59</f>
        <v>1545729</v>
      </c>
      <c r="I41" s="723">
        <f>'Operating Model'!M59</f>
        <v>1277398</v>
      </c>
      <c r="J41" s="723">
        <f>'Operating Model'!S59</f>
        <v>1596905</v>
      </c>
      <c r="K41" s="723">
        <f>'Operating Model'!Y59</f>
        <v>2926122</v>
      </c>
      <c r="L41" s="723">
        <f>'Operating Model'!AE59</f>
        <v>2977842</v>
      </c>
      <c r="M41" s="723">
        <f>'Operating Model'!AK59</f>
        <v>3674714</v>
      </c>
      <c r="N41" s="723">
        <f>'Operating Model'!AQ59</f>
        <v>3674714</v>
      </c>
      <c r="O41" s="723">
        <f>'Operating Model'!AW59</f>
        <v>3674714</v>
      </c>
      <c r="P41" s="723">
        <f>'Operating Model'!BC59</f>
        <v>3674714</v>
      </c>
      <c r="Q41" s="724">
        <f>'Operating Model'!BI59</f>
        <v>3674714</v>
      </c>
      <c r="R41" s="190"/>
    </row>
    <row r="42" spans="1:18" ht="16.5">
      <c r="B42" s="25" t="s">
        <v>432</v>
      </c>
      <c r="H42" s="190">
        <f>-'Operating Model'!G13*-1</f>
        <v>108213</v>
      </c>
      <c r="I42" s="190">
        <f>-'Operating Model'!M13*-1</f>
        <v>109551</v>
      </c>
      <c r="J42" s="190">
        <f>-'Operating Model'!S13*-1</f>
        <v>135688</v>
      </c>
      <c r="K42" s="190">
        <f>-'Operating Model'!Y13*-1</f>
        <v>135877</v>
      </c>
      <c r="L42" s="190">
        <f>-'Operating Model'!AE13*-1</f>
        <v>198373</v>
      </c>
      <c r="M42" s="190">
        <f>-'Operating Model'!AK13*-1</f>
        <v>191349.5</v>
      </c>
      <c r="N42" s="190">
        <f>-'Operating Model'!AQ13*-1</f>
        <v>187211.42499999999</v>
      </c>
      <c r="O42" s="190">
        <f>-'Operating Model'!AW13*-1</f>
        <v>177354.32500000001</v>
      </c>
      <c r="P42" s="190">
        <f>-'Operating Model'!BC13*-1</f>
        <v>175416.40000000002</v>
      </c>
      <c r="Q42" s="725">
        <f>-'Operating Model'!BI13*-1</f>
        <v>174937.9</v>
      </c>
      <c r="R42" s="190"/>
    </row>
    <row r="43" spans="1:18" ht="16.5">
      <c r="B43" s="25"/>
      <c r="Q43" s="682"/>
    </row>
    <row r="44" spans="1:18" ht="16.5">
      <c r="B44" s="688" t="s">
        <v>121</v>
      </c>
      <c r="C44" s="202"/>
      <c r="D44" s="202"/>
      <c r="E44" s="202"/>
      <c r="F44" s="202"/>
      <c r="G44" s="202"/>
      <c r="H44" s="202"/>
      <c r="I44" s="202"/>
      <c r="J44" s="202"/>
      <c r="K44" s="202"/>
      <c r="L44" s="202"/>
      <c r="M44" s="202"/>
      <c r="N44" s="202"/>
      <c r="O44" s="202"/>
      <c r="P44" s="202"/>
      <c r="Q44" s="689"/>
    </row>
    <row r="45" spans="1:18" ht="16.5">
      <c r="B45" s="722" t="s">
        <v>322</v>
      </c>
      <c r="C45" s="691"/>
      <c r="D45" s="692"/>
      <c r="E45" s="693"/>
      <c r="F45" s="692"/>
      <c r="G45" s="691"/>
      <c r="H45" s="726">
        <f>'Operating Model'!G49</f>
        <v>2932309</v>
      </c>
      <c r="I45" s="726">
        <f>'Operating Model'!M49</f>
        <v>3249490</v>
      </c>
      <c r="J45" s="726">
        <f>'Operating Model'!S49</f>
        <v>4173671</v>
      </c>
      <c r="K45" s="726">
        <f>'Operating Model'!Y49</f>
        <v>10714343</v>
      </c>
      <c r="L45" s="726">
        <f>'Operating Model'!AE49</f>
        <v>10595160</v>
      </c>
      <c r="M45" s="726">
        <f>'Operating Model'!AK49</f>
        <v>11259781.779028224</v>
      </c>
      <c r="N45" s="726">
        <f>'Operating Model'!AQ49</f>
        <v>12538999.144527853</v>
      </c>
      <c r="O45" s="726">
        <f>'Operating Model'!AW49</f>
        <v>14481399.982071193</v>
      </c>
      <c r="P45" s="726">
        <f>'Operating Model'!BC49</f>
        <v>16784434.500069048</v>
      </c>
      <c r="Q45" s="727">
        <f>'Operating Model'!BI49</f>
        <v>19427871.623000283</v>
      </c>
    </row>
    <row r="46" spans="1:18" ht="16.5">
      <c r="B46" s="25" t="s">
        <v>321</v>
      </c>
      <c r="H46" s="40">
        <f>'Operating Model'!G62</f>
        <v>2335971</v>
      </c>
      <c r="I46" s="40">
        <f>'Operating Model'!M62</f>
        <v>2424537</v>
      </c>
      <c r="J46" s="40">
        <f>'Operating Model'!S62</f>
        <v>3020888</v>
      </c>
      <c r="K46" s="40">
        <f>'Operating Model'!Y62</f>
        <v>5911862</v>
      </c>
      <c r="L46" s="40">
        <f>'Operating Model'!AE62</f>
        <v>5632594</v>
      </c>
      <c r="M46" s="40">
        <f>'Operating Model'!AK62</f>
        <v>6178515.3861713717</v>
      </c>
      <c r="N46" s="40">
        <f>'Operating Model'!AQ62</f>
        <v>6253582.7263141824</v>
      </c>
      <c r="O46" s="40">
        <f>'Operating Model'!AW62</f>
        <v>6431148.5691316817</v>
      </c>
      <c r="P46" s="40">
        <f>'Operating Model'!BC62</f>
        <v>6441633.9196267836</v>
      </c>
      <c r="Q46" s="728">
        <f>'Operating Model'!BI62</f>
        <v>6591466.5561780408</v>
      </c>
    </row>
    <row r="47" spans="1:18" ht="16.5">
      <c r="B47" s="722" t="s">
        <v>320</v>
      </c>
      <c r="C47" s="691"/>
      <c r="D47" s="692"/>
      <c r="E47" s="693"/>
      <c r="F47" s="692"/>
      <c r="G47" s="691"/>
      <c r="H47" s="726">
        <f>'Operating Model'!G67</f>
        <v>596338</v>
      </c>
      <c r="I47" s="726">
        <f>'Operating Model'!M67</f>
        <v>824953</v>
      </c>
      <c r="J47" s="726">
        <f>'Operating Model'!S67</f>
        <v>1152783</v>
      </c>
      <c r="K47" s="726">
        <f>'Operating Model'!Y67</f>
        <v>4802481</v>
      </c>
      <c r="L47" s="726">
        <f>'Operating Model'!AE67</f>
        <v>4962566</v>
      </c>
      <c r="M47" s="726">
        <f>'Operating Model'!AK67</f>
        <v>5081266.3928568522</v>
      </c>
      <c r="N47" s="726">
        <f>'Operating Model'!AQ67</f>
        <v>6285416.4182136692</v>
      </c>
      <c r="O47" s="726">
        <f>'Operating Model'!AW67</f>
        <v>8050251.4129395112</v>
      </c>
      <c r="P47" s="726">
        <f>'Operating Model'!BC67</f>
        <v>10342800.580442265</v>
      </c>
      <c r="Q47" s="727">
        <f>'Operating Model'!BI67</f>
        <v>12836405.066822242</v>
      </c>
    </row>
    <row r="48" spans="1:18" ht="16.5">
      <c r="B48" s="25"/>
      <c r="Q48" s="682"/>
    </row>
    <row r="49" spans="2:17" ht="16.5">
      <c r="B49" s="688" t="s">
        <v>359</v>
      </c>
      <c r="C49" s="202"/>
      <c r="D49" s="202"/>
      <c r="E49" s="202"/>
      <c r="F49" s="202"/>
      <c r="G49" s="202"/>
      <c r="H49" s="202"/>
      <c r="I49" s="202"/>
      <c r="J49" s="202"/>
      <c r="K49" s="202"/>
      <c r="L49" s="202"/>
      <c r="M49" s="202"/>
      <c r="N49" s="202"/>
      <c r="O49" s="202"/>
      <c r="P49" s="202"/>
      <c r="Q49" s="689"/>
    </row>
    <row r="50" spans="2:17" ht="16.5">
      <c r="B50" s="722" t="s">
        <v>297</v>
      </c>
      <c r="C50" s="691"/>
      <c r="D50" s="691"/>
      <c r="E50" s="691"/>
      <c r="F50" s="691"/>
      <c r="G50" s="691"/>
      <c r="H50" s="729">
        <f t="shared" ref="H50:Q50" si="13">H31/H21</f>
        <v>6.0438555395363823E-2</v>
      </c>
      <c r="I50" s="729">
        <f t="shared" si="13"/>
        <v>6.7625666667261872E-2</v>
      </c>
      <c r="J50" s="729">
        <f t="shared" si="13"/>
        <v>7.7162019209536206E-2</v>
      </c>
      <c r="K50" s="729">
        <f t="shared" si="13"/>
        <v>0.14752172731118593</v>
      </c>
      <c r="L50" s="729">
        <f t="shared" si="13"/>
        <v>0.18777028566490328</v>
      </c>
      <c r="M50" s="729">
        <f t="shared" si="13"/>
        <v>0.16177433025254367</v>
      </c>
      <c r="N50" s="729">
        <f t="shared" si="13"/>
        <v>0.13888512143454529</v>
      </c>
      <c r="O50" s="729">
        <f t="shared" si="13"/>
        <v>0.13744438811183343</v>
      </c>
      <c r="P50" s="729">
        <f t="shared" si="13"/>
        <v>0.16092175473218878</v>
      </c>
      <c r="Q50" s="730">
        <f t="shared" si="13"/>
        <v>0.16251756294882891</v>
      </c>
    </row>
    <row r="51" spans="2:17" ht="16.5">
      <c r="B51" s="25" t="s">
        <v>433</v>
      </c>
      <c r="H51" s="731">
        <f t="shared" ref="H51:Q51" si="14">H34/H21</f>
        <v>2.6562729173460288E-2</v>
      </c>
      <c r="I51" s="731">
        <f t="shared" si="14"/>
        <v>3.0466465515571813E-2</v>
      </c>
      <c r="J51" s="731">
        <f t="shared" si="14"/>
        <v>3.6632972982193687E-2</v>
      </c>
      <c r="K51" s="731">
        <f t="shared" si="14"/>
        <v>8.6731099290152699E-2</v>
      </c>
      <c r="L51" s="731">
        <f t="shared" si="14"/>
        <v>0.12097678569495642</v>
      </c>
      <c r="M51" s="731">
        <f t="shared" si="14"/>
        <v>9.2506354297653415E-2</v>
      </c>
      <c r="N51" s="731">
        <f t="shared" si="14"/>
        <v>7.5937063936202198E-2</v>
      </c>
      <c r="O51" s="731">
        <f t="shared" si="14"/>
        <v>8.2273927467501895E-2</v>
      </c>
      <c r="P51" s="731">
        <f t="shared" si="14"/>
        <v>9.9761109409828172E-2</v>
      </c>
      <c r="Q51" s="85">
        <f t="shared" si="14"/>
        <v>0.10003352728828138</v>
      </c>
    </row>
    <row r="52" spans="2:17" ht="16.5">
      <c r="B52" s="722" t="s">
        <v>434</v>
      </c>
      <c r="C52" s="691"/>
      <c r="D52" s="691"/>
      <c r="E52" s="691"/>
      <c r="F52" s="691"/>
      <c r="G52" s="691"/>
      <c r="H52" s="729">
        <f t="shared" ref="H52:Q52" si="15">H34/H47</f>
        <v>0.34408506585191617</v>
      </c>
      <c r="I52" s="729">
        <f t="shared" si="15"/>
        <v>0.26887471165023946</v>
      </c>
      <c r="J52" s="729">
        <f t="shared" si="15"/>
        <v>0.27198267150018696</v>
      </c>
      <c r="K52" s="729">
        <f t="shared" si="15"/>
        <v>0.35927596590179117</v>
      </c>
      <c r="L52" s="729">
        <f t="shared" si="15"/>
        <v>0.55402164928385844</v>
      </c>
      <c r="M52" s="729">
        <f t="shared" si="15"/>
        <v>0.31528808023966909</v>
      </c>
      <c r="N52" s="729">
        <f t="shared" si="15"/>
        <v>0.23117842881704315</v>
      </c>
      <c r="O52" s="729">
        <f t="shared" si="15"/>
        <v>0.21922731405495571</v>
      </c>
      <c r="P52" s="729">
        <f t="shared" si="15"/>
        <v>0.22165651843252737</v>
      </c>
      <c r="Q52" s="730">
        <f t="shared" si="15"/>
        <v>0.19426034574314729</v>
      </c>
    </row>
    <row r="53" spans="2:17" ht="16.5">
      <c r="B53" s="25" t="s">
        <v>435</v>
      </c>
      <c r="H53" s="731">
        <f t="shared" ref="H53:Q53" si="16">H34/H45</f>
        <v>6.9975913179681951E-2</v>
      </c>
      <c r="I53" s="731">
        <f t="shared" si="16"/>
        <v>6.8259634588812401E-2</v>
      </c>
      <c r="J53" s="731">
        <f t="shared" si="16"/>
        <v>7.5122595911369147E-2</v>
      </c>
      <c r="K53" s="731">
        <f t="shared" si="16"/>
        <v>0.16103796565034365</v>
      </c>
      <c r="L53" s="731">
        <f t="shared" si="16"/>
        <v>0.25949291940848462</v>
      </c>
      <c r="M53" s="731">
        <f t="shared" si="16"/>
        <v>0.14228186279543079</v>
      </c>
      <c r="N53" s="731">
        <f t="shared" si="16"/>
        <v>0.11588266936421399</v>
      </c>
      <c r="O53" s="731">
        <f t="shared" si="16"/>
        <v>0.12186908702962479</v>
      </c>
      <c r="P53" s="731">
        <f t="shared" si="16"/>
        <v>0.13658781101581496</v>
      </c>
      <c r="Q53" s="85">
        <f t="shared" si="16"/>
        <v>0.12835191289960174</v>
      </c>
    </row>
    <row r="54" spans="2:17" ht="16.5">
      <c r="B54" s="25"/>
      <c r="Q54" s="682"/>
    </row>
    <row r="55" spans="2:17" ht="16.5">
      <c r="B55" s="688" t="s">
        <v>436</v>
      </c>
      <c r="C55" s="202"/>
      <c r="D55" s="202"/>
      <c r="E55" s="202"/>
      <c r="F55" s="202"/>
      <c r="G55" s="202"/>
      <c r="H55" s="202"/>
      <c r="I55" s="202"/>
      <c r="J55" s="202"/>
      <c r="K55" s="202"/>
      <c r="L55" s="202"/>
      <c r="M55" s="202"/>
      <c r="N55" s="202"/>
      <c r="O55" s="202"/>
      <c r="P55" s="202"/>
      <c r="Q55" s="689"/>
    </row>
    <row r="56" spans="2:17" ht="16.5">
      <c r="B56" s="722" t="s">
        <v>210</v>
      </c>
      <c r="C56" s="691"/>
      <c r="D56" s="691"/>
      <c r="E56" s="691"/>
      <c r="F56" s="691"/>
      <c r="G56" s="691"/>
      <c r="H56" s="732">
        <f>'Historical Valuation'!E5</f>
        <v>12.498661625832099</v>
      </c>
      <c r="I56" s="732">
        <f>'Historical Valuation'!F5</f>
        <v>5.7527848988360839</v>
      </c>
      <c r="J56" s="732">
        <f>'Historical Valuation'!G5</f>
        <v>9.5502441733132244</v>
      </c>
      <c r="K56" s="732">
        <f>'Historical Valuation'!H5</f>
        <v>4.6992830073734435</v>
      </c>
      <c r="L56" s="732">
        <f>'Historical Valuation'!I5</f>
        <v>4.9644221503326769</v>
      </c>
      <c r="M56" s="732">
        <f>'Historical Valuation'!K5</f>
        <v>11.908453307774106</v>
      </c>
      <c r="N56" s="732">
        <f>'Historical Valuation'!L5</f>
        <v>17.490195265914977</v>
      </c>
      <c r="O56" s="732">
        <f>'Historical Valuation'!M5</f>
        <v>15.529577358963268</v>
      </c>
      <c r="P56" s="732">
        <f>'Historical Valuation'!N5</f>
        <v>12.940342513257491</v>
      </c>
      <c r="Q56" s="733">
        <f>'Historical Valuation'!O5</f>
        <v>12.877677558667028</v>
      </c>
    </row>
    <row r="57" spans="2:17" ht="16.5">
      <c r="B57" s="25" t="s">
        <v>355</v>
      </c>
      <c r="H57" s="389">
        <f>'Historical Valuation'!E6</f>
        <v>11.111505604822099</v>
      </c>
      <c r="I57" s="389">
        <f>'Historical Valuation'!F6</f>
        <v>6.4746518024195394</v>
      </c>
      <c r="J57" s="389">
        <f>'Historical Valuation'!G6</f>
        <v>7.6663405436017769</v>
      </c>
      <c r="K57" s="389">
        <f>'Historical Valuation'!H6</f>
        <v>4.6023368731067462</v>
      </c>
      <c r="L57" s="389">
        <f>'Historical Valuation'!I6</f>
        <v>4.3887324361156921</v>
      </c>
      <c r="M57" s="389">
        <f>'Historical Valuation'!K6</f>
        <v>9.4896784513893344</v>
      </c>
      <c r="N57" s="389">
        <f>'Historical Valuation'!L6</f>
        <v>13.112373009057702</v>
      </c>
      <c r="O57" s="389">
        <f>'Historical Valuation'!M6</f>
        <v>11.342906031223851</v>
      </c>
      <c r="P57" s="389">
        <f>'Historical Valuation'!N6</f>
        <v>8.9736312333869339</v>
      </c>
      <c r="Q57" s="734">
        <f>'Historical Valuation'!O6</f>
        <v>8.325708541352979</v>
      </c>
    </row>
    <row r="58" spans="2:17" ht="16.5">
      <c r="B58" s="722" t="s">
        <v>207</v>
      </c>
      <c r="C58" s="691"/>
      <c r="D58" s="691"/>
      <c r="E58" s="691"/>
      <c r="F58" s="691"/>
      <c r="G58" s="691"/>
      <c r="H58" s="732">
        <f>'Historical Valuation'!E7</f>
        <v>8.781362851647339</v>
      </c>
      <c r="I58" s="732">
        <f>'Historical Valuation'!F7</f>
        <v>5.1590854158880779</v>
      </c>
      <c r="J58" s="732">
        <f>'Historical Valuation'!G7</f>
        <v>6.3132097301717103</v>
      </c>
      <c r="K58" s="732">
        <f>'Historical Valuation'!H7</f>
        <v>3.7439755221318425</v>
      </c>
      <c r="L58" s="732">
        <f>'Historical Valuation'!I7</f>
        <v>3.8774510815476408</v>
      </c>
      <c r="M58" s="732">
        <f>'Historical Valuation'!K7</f>
        <v>7.6222484536847537</v>
      </c>
      <c r="N58" s="732">
        <f>'Historical Valuation'!L7</f>
        <v>10.136841359464189</v>
      </c>
      <c r="O58" s="732">
        <f>'Historical Valuation'!M7</f>
        <v>9.4077870917423567</v>
      </c>
      <c r="P58" s="732">
        <f>'Historical Valuation'!N7</f>
        <v>7.5746279901780103</v>
      </c>
      <c r="Q58" s="733">
        <f>'Historical Valuation'!O7</f>
        <v>6.9451130736731566</v>
      </c>
    </row>
    <row r="59" spans="2:17" ht="16.5">
      <c r="B59" s="25" t="s">
        <v>491</v>
      </c>
      <c r="H59" s="389">
        <f>'Historical Valuation'!E9</f>
        <v>3.0125603114904211</v>
      </c>
      <c r="I59" s="389">
        <f>'Historical Valuation'!F9</f>
        <v>5.702347634243468</v>
      </c>
      <c r="J59" s="389">
        <f>'Historical Valuation'!G9</f>
        <v>2.8565086688404553</v>
      </c>
      <c r="K59" s="389">
        <f>'Historical Valuation'!H9</f>
        <v>2.4547555845154809</v>
      </c>
      <c r="L59" s="389">
        <f>'Historical Valuation'!I9</f>
        <v>1.6650575700717172</v>
      </c>
      <c r="M59" s="389">
        <f>'Historical Valuation'!K9</f>
        <v>0.92597085195661688</v>
      </c>
      <c r="N59" s="389">
        <f>'Historical Valuation'!L9</f>
        <v>0.75572624692038215</v>
      </c>
      <c r="O59" s="389">
        <f>'Historical Valuation'!M9</f>
        <v>0.78266900260662753</v>
      </c>
      <c r="P59" s="389">
        <f>'Historical Valuation'!N9</f>
        <v>0.77462758455735536</v>
      </c>
      <c r="Q59" s="734">
        <f>'Historical Valuation'!O9</f>
        <v>0.77627727121853241</v>
      </c>
    </row>
    <row r="60" spans="2:17" ht="16.5">
      <c r="B60" s="25"/>
      <c r="H60" s="389"/>
      <c r="I60" s="389"/>
      <c r="J60" s="389"/>
      <c r="K60" s="389"/>
      <c r="L60" s="389"/>
      <c r="M60" s="389"/>
      <c r="N60" s="389"/>
      <c r="O60" s="389"/>
      <c r="P60" s="389"/>
      <c r="Q60" s="734"/>
    </row>
    <row r="61" spans="2:17" ht="16.5">
      <c r="B61" s="688" t="s">
        <v>319</v>
      </c>
      <c r="C61" s="202"/>
      <c r="D61" s="202"/>
      <c r="E61" s="202"/>
      <c r="F61" s="202"/>
      <c r="G61" s="202"/>
      <c r="H61" s="202"/>
      <c r="I61" s="202"/>
      <c r="J61" s="202"/>
      <c r="K61" s="202"/>
      <c r="L61" s="202"/>
      <c r="M61" s="202"/>
      <c r="N61" s="202"/>
      <c r="O61" s="202"/>
      <c r="P61" s="202"/>
      <c r="Q61" s="689"/>
    </row>
    <row r="62" spans="2:17" ht="16.5" customHeight="1">
      <c r="B62" s="722" t="s">
        <v>437</v>
      </c>
      <c r="C62" s="691"/>
      <c r="D62" s="691"/>
      <c r="E62" s="691"/>
      <c r="F62" s="691"/>
      <c r="G62" s="691"/>
      <c r="H62" s="732">
        <f t="shared" ref="H62:Q62" si="17">H41/H31</f>
        <v>3.3108054849916679</v>
      </c>
      <c r="I62" s="732">
        <f t="shared" si="17"/>
        <v>2.5945233414035713</v>
      </c>
      <c r="J62" s="732">
        <f t="shared" si="17"/>
        <v>2.4180142939341631</v>
      </c>
      <c r="K62" s="732">
        <f t="shared" si="17"/>
        <v>0.99705122298942062</v>
      </c>
      <c r="L62" s="732">
        <f t="shared" si="17"/>
        <v>0.6978206126243337</v>
      </c>
      <c r="M62" s="732">
        <f t="shared" si="17"/>
        <v>1.3116138165216118</v>
      </c>
      <c r="N62" s="732">
        <f t="shared" si="17"/>
        <v>1.382739149023209</v>
      </c>
      <c r="O62" s="732">
        <f t="shared" si="17"/>
        <v>1.2463920048237167</v>
      </c>
      <c r="P62" s="732">
        <f t="shared" si="17"/>
        <v>0.99369109044834858</v>
      </c>
      <c r="Q62" s="733">
        <f t="shared" si="17"/>
        <v>0.90707094270159083</v>
      </c>
    </row>
    <row r="63" spans="2:17" ht="16.5">
      <c r="B63" s="25" t="s">
        <v>361</v>
      </c>
      <c r="H63" s="389">
        <f>H31/H42</f>
        <v>4.3143984548991341</v>
      </c>
      <c r="I63" s="389">
        <f t="shared" ref="I63:Q63" si="18">I31/I42</f>
        <v>4.4941990488448305</v>
      </c>
      <c r="J63" s="389">
        <f t="shared" si="18"/>
        <v>4.8671953304640061</v>
      </c>
      <c r="K63" s="389">
        <f t="shared" si="18"/>
        <v>21.598769475334311</v>
      </c>
      <c r="L63" s="389">
        <f t="shared" si="18"/>
        <v>21.511727906519535</v>
      </c>
      <c r="M63" s="389">
        <f t="shared" si="18"/>
        <v>14.641657020723754</v>
      </c>
      <c r="N63" s="389">
        <f t="shared" si="18"/>
        <v>14.195507905152661</v>
      </c>
      <c r="O63" s="389">
        <f t="shared" si="18"/>
        <v>16.623677529208909</v>
      </c>
      <c r="P63" s="389">
        <f t="shared" si="18"/>
        <v>21.081521619887614</v>
      </c>
      <c r="Q63" s="734">
        <f t="shared" si="18"/>
        <v>23.157857660959767</v>
      </c>
    </row>
    <row r="64" spans="2:17" ht="16.5">
      <c r="B64" s="722" t="s">
        <v>438</v>
      </c>
      <c r="C64" s="691"/>
      <c r="D64" s="691"/>
      <c r="E64" s="691"/>
      <c r="F64" s="691"/>
      <c r="G64" s="691"/>
      <c r="H64" s="732">
        <f>'Operating Model'!G41/'Operating Model'!G57</f>
        <v>1.8786107247910795</v>
      </c>
      <c r="I64" s="732">
        <f>'Operating Model'!M41/'Operating Model'!M57</f>
        <v>1.591215644447042</v>
      </c>
      <c r="J64" s="732">
        <f>'Operating Model'!S41/'Operating Model'!S57</f>
        <v>2.0688242950431359</v>
      </c>
      <c r="K64" s="732">
        <f>'Operating Model'!Y41/'Operating Model'!Y57</f>
        <v>1.8641652154754684</v>
      </c>
      <c r="L64" s="732">
        <f>'Operating Model'!AE41/'Operating Model'!AE57</f>
        <v>1.8980284667884755</v>
      </c>
      <c r="M64" s="732">
        <f>'Operating Model'!AK41/'Operating Model'!AK57</f>
        <v>2.3779787826688707</v>
      </c>
      <c r="N64" s="732">
        <f>'Operating Model'!AQ41/'Operating Model'!AQ57</f>
        <v>3.0042445375384959</v>
      </c>
      <c r="O64" s="732">
        <f>'Operating Model'!AW41/'Operating Model'!AW57</f>
        <v>3.6509280872216059</v>
      </c>
      <c r="P64" s="732">
        <f>'Operating Model'!BC41/'Operating Model'!BC57</f>
        <v>4.7407834514807146</v>
      </c>
      <c r="Q64" s="733">
        <f>'Operating Model'!BI41/'Operating Model'!BI57</f>
        <v>5.621910062365866</v>
      </c>
    </row>
    <row r="65" spans="1:18" ht="17.25" thickBot="1">
      <c r="B65" s="735"/>
      <c r="C65" s="736"/>
      <c r="D65" s="736"/>
      <c r="E65" s="736"/>
      <c r="F65" s="736"/>
      <c r="G65" s="736"/>
      <c r="H65" s="737"/>
      <c r="I65" s="737"/>
      <c r="J65" s="737"/>
      <c r="K65" s="737"/>
      <c r="L65" s="737"/>
      <c r="M65" s="737"/>
      <c r="N65" s="737"/>
      <c r="O65" s="737"/>
      <c r="P65" s="737"/>
      <c r="Q65" s="738"/>
      <c r="R65" s="475"/>
    </row>
    <row r="66" spans="1:18" s="18" customFormat="1" ht="16.5">
      <c r="A66" s="21"/>
      <c r="B66" s="21"/>
      <c r="C66" s="21"/>
      <c r="D66" s="21"/>
      <c r="E66" s="21"/>
      <c r="F66" s="21"/>
      <c r="G66" s="21"/>
      <c r="H66" s="21"/>
      <c r="I66" s="21"/>
      <c r="J66" s="21"/>
      <c r="K66" s="21"/>
      <c r="L66" s="21"/>
      <c r="M66" s="21"/>
      <c r="N66" s="21"/>
      <c r="O66" s="21"/>
      <c r="P66" s="21"/>
      <c r="Q66" s="21"/>
      <c r="R66" s="21"/>
    </row>
    <row r="67" spans="1:18" ht="16.5"/>
    <row r="68" spans="1:18" ht="16.5"/>
    <row r="69" spans="1:18" ht="16.5" customHeight="1"/>
    <row r="70" spans="1:18" ht="16.5" customHeight="1"/>
    <row r="71" spans="1:18" ht="16.5" customHeight="1"/>
    <row r="72" spans="1:18" ht="16.5" customHeight="1"/>
    <row r="73" spans="1:18" ht="16.5" customHeight="1"/>
    <row r="74" spans="1:18" ht="6" customHeight="1"/>
    <row r="75" spans="1:18" ht="16.5" customHeight="1"/>
    <row r="76" spans="1:18" ht="16.5" customHeight="1"/>
  </sheetData>
  <mergeCells count="1">
    <mergeCell ref="D2:F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124D-9B77-4CF4-92F9-28950DAC9E8D}">
  <sheetPr>
    <tabColor rgb="FF002060"/>
  </sheetPr>
  <dimension ref="A1:BJ125"/>
  <sheetViews>
    <sheetView showGridLines="0" zoomScale="80" zoomScaleNormal="80" workbookViewId="0">
      <pane xSplit="1" ySplit="2" topLeftCell="AF3" activePane="bottomRight" state="frozen"/>
      <selection pane="topRight" activeCell="B1" sqref="B1"/>
      <selection pane="bottomLeft" activeCell="A2" sqref="A2"/>
      <selection pane="bottomRight" activeCell="AF1" sqref="AF1"/>
    </sheetView>
  </sheetViews>
  <sheetFormatPr defaultColWidth="9.140625" defaultRowHeight="16.5"/>
  <cols>
    <col min="1" max="1" width="93.7109375" style="18" bestFit="1" customWidth="1"/>
    <col min="2" max="2" width="1.28515625" customWidth="1"/>
    <col min="3" max="3" width="12.7109375" style="18" bestFit="1" customWidth="1"/>
    <col min="4" max="4" width="12.140625" style="18" bestFit="1" customWidth="1"/>
    <col min="5" max="5" width="12.42578125" style="18" bestFit="1" customWidth="1"/>
    <col min="6" max="6" width="11.42578125" style="18" bestFit="1" customWidth="1"/>
    <col min="7" max="7" width="12.42578125" style="18" bestFit="1" customWidth="1"/>
    <col min="8" max="8" width="3.7109375" customWidth="1"/>
    <col min="9" max="9" width="12.7109375" style="18" bestFit="1" customWidth="1"/>
    <col min="10" max="10" width="12.140625" style="18" bestFit="1" customWidth="1"/>
    <col min="11" max="11" width="12.42578125" style="18" bestFit="1" customWidth="1"/>
    <col min="12" max="12" width="11.42578125" style="18" bestFit="1" customWidth="1"/>
    <col min="13" max="13" width="12.42578125" style="18" bestFit="1" customWidth="1"/>
    <col min="14" max="14" width="3.7109375" customWidth="1"/>
    <col min="15" max="15" width="12.7109375" style="18" bestFit="1" customWidth="1"/>
    <col min="16" max="16" width="12.140625" style="18" bestFit="1" customWidth="1"/>
    <col min="17" max="17" width="12.42578125" style="18" bestFit="1" customWidth="1"/>
    <col min="18" max="18" width="11.42578125" style="18" bestFit="1" customWidth="1"/>
    <col min="19" max="19" width="12.42578125" style="18" bestFit="1" customWidth="1"/>
    <col min="20" max="20" width="3.7109375" customWidth="1"/>
    <col min="21" max="25" width="12.7109375" style="18" bestFit="1" customWidth="1"/>
    <col min="26" max="26" width="3.7109375" customWidth="1"/>
    <col min="27" max="31" width="12.7109375" style="18" bestFit="1" customWidth="1"/>
    <col min="32" max="32" width="3.7109375" customWidth="1"/>
    <col min="33" max="34" width="12.7109375" style="18" bestFit="1" customWidth="1"/>
    <col min="35" max="37" width="13.28515625" style="18" bestFit="1" customWidth="1"/>
    <col min="38" max="38" width="3.7109375" customWidth="1"/>
    <col min="39" max="42" width="13.28515625" style="18" bestFit="1" customWidth="1"/>
    <col min="43" max="43" width="14.140625" style="18" bestFit="1" customWidth="1"/>
    <col min="44" max="44" width="3.7109375" customWidth="1"/>
    <col min="45" max="48" width="13.28515625" style="18" bestFit="1" customWidth="1"/>
    <col min="49" max="49" width="14.140625" style="18" bestFit="1" customWidth="1"/>
    <col min="50" max="50" width="3.7109375" customWidth="1"/>
    <col min="51" max="54" width="13.28515625" style="18" bestFit="1" customWidth="1"/>
    <col min="55" max="55" width="15" style="18" bestFit="1" customWidth="1"/>
    <col min="56" max="56" width="3.7109375" customWidth="1"/>
    <col min="57" max="60" width="13.28515625" style="18" bestFit="1" customWidth="1"/>
    <col min="61" max="61" width="15" style="18" bestFit="1" customWidth="1"/>
    <col min="62" max="62" width="3.7109375" style="18" customWidth="1"/>
    <col min="63" max="16384" width="9.140625" style="18"/>
  </cols>
  <sheetData>
    <row r="1" spans="1:61" ht="20.25">
      <c r="A1" s="18" t="s">
        <v>35</v>
      </c>
      <c r="C1" s="768">
        <v>2018</v>
      </c>
      <c r="D1" s="768"/>
      <c r="E1" s="768"/>
      <c r="F1" s="768"/>
      <c r="G1" s="768"/>
      <c r="I1" s="768">
        <v>2019</v>
      </c>
      <c r="J1" s="768"/>
      <c r="K1" s="768"/>
      <c r="L1" s="768"/>
      <c r="M1" s="768"/>
      <c r="O1" s="768">
        <v>2020</v>
      </c>
      <c r="P1" s="768"/>
      <c r="Q1" s="768"/>
      <c r="R1" s="768"/>
      <c r="S1" s="768"/>
      <c r="U1" s="768">
        <v>2021</v>
      </c>
      <c r="V1" s="768"/>
      <c r="W1" s="768"/>
      <c r="X1" s="768"/>
      <c r="Y1" s="768"/>
      <c r="AA1" s="768">
        <v>2022</v>
      </c>
      <c r="AB1" s="768"/>
      <c r="AC1" s="768"/>
      <c r="AD1" s="768"/>
      <c r="AE1" s="768"/>
      <c r="AG1" s="768">
        <v>2023</v>
      </c>
      <c r="AH1" s="768"/>
      <c r="AI1" s="768"/>
      <c r="AJ1" s="768"/>
      <c r="AK1" s="768"/>
      <c r="AM1" s="768">
        <v>2024</v>
      </c>
      <c r="AN1" s="768"/>
      <c r="AO1" s="768"/>
      <c r="AP1" s="768"/>
      <c r="AQ1" s="768"/>
      <c r="AS1" s="768">
        <v>2025</v>
      </c>
      <c r="AT1" s="768"/>
      <c r="AU1" s="768"/>
      <c r="AV1" s="768"/>
      <c r="AW1" s="768"/>
      <c r="AY1" s="768">
        <v>2026</v>
      </c>
      <c r="AZ1" s="768"/>
      <c r="BA1" s="768"/>
      <c r="BB1" s="768"/>
      <c r="BC1" s="768"/>
      <c r="BE1" s="768">
        <v>2027</v>
      </c>
      <c r="BF1" s="768"/>
      <c r="BG1" s="768"/>
      <c r="BH1" s="768"/>
      <c r="BI1" s="768"/>
    </row>
    <row r="2" spans="1:61" ht="18" thickBot="1">
      <c r="A2" s="8" t="s">
        <v>97</v>
      </c>
      <c r="C2" s="229" t="s">
        <v>271</v>
      </c>
      <c r="D2" s="229" t="s">
        <v>272</v>
      </c>
      <c r="E2" s="229" t="s">
        <v>273</v>
      </c>
      <c r="F2" s="229" t="s">
        <v>274</v>
      </c>
      <c r="G2" s="229" t="s">
        <v>275</v>
      </c>
      <c r="I2" s="229" t="s">
        <v>271</v>
      </c>
      <c r="J2" s="229" t="s">
        <v>272</v>
      </c>
      <c r="K2" s="229" t="s">
        <v>273</v>
      </c>
      <c r="L2" s="229" t="s">
        <v>274</v>
      </c>
      <c r="M2" s="229" t="s">
        <v>275</v>
      </c>
      <c r="O2" s="229" t="s">
        <v>271</v>
      </c>
      <c r="P2" s="229" t="s">
        <v>272</v>
      </c>
      <c r="Q2" s="229" t="s">
        <v>273</v>
      </c>
      <c r="R2" s="229" t="s">
        <v>274</v>
      </c>
      <c r="S2" s="229" t="s">
        <v>275</v>
      </c>
      <c r="U2" s="229" t="s">
        <v>271</v>
      </c>
      <c r="V2" s="229" t="s">
        <v>272</v>
      </c>
      <c r="W2" s="229" t="s">
        <v>273</v>
      </c>
      <c r="X2" s="229" t="s">
        <v>274</v>
      </c>
      <c r="Y2" s="229" t="s">
        <v>275</v>
      </c>
      <c r="AA2" s="229" t="s">
        <v>271</v>
      </c>
      <c r="AB2" s="229" t="s">
        <v>272</v>
      </c>
      <c r="AC2" s="229" t="s">
        <v>273</v>
      </c>
      <c r="AD2" s="229" t="s">
        <v>274</v>
      </c>
      <c r="AE2" s="229" t="s">
        <v>275</v>
      </c>
      <c r="AG2" s="229" t="s">
        <v>271</v>
      </c>
      <c r="AH2" s="229" t="s">
        <v>272</v>
      </c>
      <c r="AI2" s="229" t="s">
        <v>273</v>
      </c>
      <c r="AJ2" s="229" t="s">
        <v>274</v>
      </c>
      <c r="AK2" s="229" t="s">
        <v>275</v>
      </c>
      <c r="AM2" s="229" t="s">
        <v>271</v>
      </c>
      <c r="AN2" s="229" t="s">
        <v>272</v>
      </c>
      <c r="AO2" s="229" t="s">
        <v>273</v>
      </c>
      <c r="AP2" s="229" t="s">
        <v>274</v>
      </c>
      <c r="AQ2" s="229" t="s">
        <v>275</v>
      </c>
      <c r="AS2" s="229" t="s">
        <v>271</v>
      </c>
      <c r="AT2" s="229" t="s">
        <v>272</v>
      </c>
      <c r="AU2" s="229" t="s">
        <v>273</v>
      </c>
      <c r="AV2" s="229" t="s">
        <v>274</v>
      </c>
      <c r="AW2" s="229" t="s">
        <v>275</v>
      </c>
      <c r="AY2" s="229" t="s">
        <v>271</v>
      </c>
      <c r="AZ2" s="229" t="s">
        <v>272</v>
      </c>
      <c r="BA2" s="229" t="s">
        <v>273</v>
      </c>
      <c r="BB2" s="229" t="s">
        <v>274</v>
      </c>
      <c r="BC2" s="229" t="s">
        <v>275</v>
      </c>
      <c r="BE2" s="229" t="s">
        <v>271</v>
      </c>
      <c r="BF2" s="229" t="s">
        <v>272</v>
      </c>
      <c r="BG2" s="229" t="s">
        <v>273</v>
      </c>
      <c r="BH2" s="229" t="s">
        <v>274</v>
      </c>
      <c r="BI2" s="229" t="s">
        <v>275</v>
      </c>
    </row>
    <row r="3" spans="1:61" ht="17.25" thickBot="1">
      <c r="A3" s="217" t="s">
        <v>96</v>
      </c>
      <c r="C3" s="233"/>
      <c r="D3" s="234"/>
      <c r="E3" s="234"/>
      <c r="F3" s="234"/>
      <c r="G3" s="235"/>
      <c r="I3" s="291"/>
      <c r="J3" s="292"/>
      <c r="K3" s="292"/>
      <c r="L3" s="292"/>
      <c r="M3" s="293"/>
      <c r="O3" s="294"/>
      <c r="P3" s="295"/>
      <c r="Q3" s="295"/>
      <c r="R3" s="198"/>
      <c r="S3" s="296"/>
      <c r="U3" s="294"/>
      <c r="V3" s="295"/>
      <c r="W3" s="295"/>
      <c r="X3" s="295"/>
      <c r="Y3" s="296"/>
      <c r="AA3" s="294"/>
      <c r="AB3" s="295"/>
      <c r="AC3" s="295"/>
      <c r="AD3" s="295"/>
      <c r="AE3" s="296"/>
      <c r="AG3" s="294"/>
      <c r="AH3" s="295"/>
      <c r="AI3" s="298"/>
      <c r="AJ3" s="298"/>
      <c r="AK3" s="299"/>
      <c r="AM3" s="305"/>
      <c r="AN3" s="298"/>
      <c r="AO3" s="298"/>
      <c r="AP3" s="298"/>
      <c r="AQ3" s="299"/>
      <c r="AS3" s="305"/>
      <c r="AT3" s="298"/>
      <c r="AU3" s="298"/>
      <c r="AV3" s="298"/>
      <c r="AW3" s="299"/>
      <c r="AY3" s="305"/>
      <c r="AZ3" s="298"/>
      <c r="BA3" s="298"/>
      <c r="BB3" s="298"/>
      <c r="BC3" s="299"/>
      <c r="BE3" s="203"/>
      <c r="BF3" s="203"/>
      <c r="BG3" s="203"/>
      <c r="BH3" s="203"/>
      <c r="BI3" s="203"/>
    </row>
    <row r="4" spans="1:61" s="274" customFormat="1" ht="15">
      <c r="A4" s="336" t="s">
        <v>111</v>
      </c>
      <c r="B4"/>
      <c r="C4" s="741">
        <v>1700436</v>
      </c>
      <c r="D4" s="745">
        <v>2089888</v>
      </c>
      <c r="E4" s="745">
        <v>2118467</v>
      </c>
      <c r="F4" s="745">
        <v>1815980</v>
      </c>
      <c r="G4" s="746">
        <v>7724771</v>
      </c>
      <c r="H4"/>
      <c r="I4" s="741">
        <v>1631300</v>
      </c>
      <c r="J4" s="745">
        <v>1904523</v>
      </c>
      <c r="K4" s="745">
        <v>1981035</v>
      </c>
      <c r="L4" s="745">
        <v>1763573</v>
      </c>
      <c r="M4" s="746">
        <v>7280431</v>
      </c>
      <c r="N4"/>
      <c r="O4" s="741">
        <v>1787021</v>
      </c>
      <c r="P4" s="745">
        <v>1945643</v>
      </c>
      <c r="Q4" s="745">
        <v>2295450</v>
      </c>
      <c r="R4" s="745">
        <v>2530760</v>
      </c>
      <c r="S4" s="746">
        <v>8558874</v>
      </c>
      <c r="T4"/>
      <c r="U4" s="741">
        <v>4173775</v>
      </c>
      <c r="V4" s="745">
        <v>5576682</v>
      </c>
      <c r="W4" s="745">
        <v>5508590</v>
      </c>
      <c r="X4" s="745">
        <v>4634809</v>
      </c>
      <c r="Y4" s="746">
        <v>19893856</v>
      </c>
      <c r="Z4"/>
      <c r="AA4" s="741">
        <v>5681131</v>
      </c>
      <c r="AB4" s="745">
        <v>6926259</v>
      </c>
      <c r="AC4" s="745">
        <v>5761463</v>
      </c>
      <c r="AD4" s="745">
        <v>4357565</v>
      </c>
      <c r="AE4" s="746">
        <v>22726418</v>
      </c>
      <c r="AF4"/>
      <c r="AG4" s="741">
        <v>3883314</v>
      </c>
      <c r="AH4" s="753">
        <v>4528890</v>
      </c>
      <c r="AI4" s="345">
        <f>AC4*(1+AI26)</f>
        <v>4897243.55</v>
      </c>
      <c r="AJ4" s="345">
        <f>AD4*(1+AJ26)</f>
        <v>4008959.8000000003</v>
      </c>
      <c r="AK4" s="346">
        <f>SUM(AG4:AJ4)</f>
        <v>17318407.350000001</v>
      </c>
      <c r="AL4"/>
      <c r="AM4" s="347">
        <f>AG4*(1+AM26)</f>
        <v>4077479.7</v>
      </c>
      <c r="AN4" s="348">
        <f>AH4*(1+AN26)</f>
        <v>4891201.2</v>
      </c>
      <c r="AO4" s="348">
        <f>AI4*(1+AO26)</f>
        <v>5876692.2599999998</v>
      </c>
      <c r="AP4" s="348">
        <f>AJ4*(1+AP26)</f>
        <v>4289586.9860000005</v>
      </c>
      <c r="AQ4" s="349">
        <f>SUM(AM4:AP4)</f>
        <v>19134960.146000002</v>
      </c>
      <c r="AR4"/>
      <c r="AS4" s="347">
        <f>AM4*(1+AS26)</f>
        <v>4281353.6850000005</v>
      </c>
      <c r="AT4" s="348">
        <f>AN4*(1+AT26)</f>
        <v>5478145.3440000005</v>
      </c>
      <c r="AU4" s="348">
        <f>AO4*(1+AU26)</f>
        <v>6758196.0989999995</v>
      </c>
      <c r="AV4" s="348">
        <f>AP4*(1+AV26)</f>
        <v>4933025.0339000002</v>
      </c>
      <c r="AW4" s="349">
        <f>SUM(AS4:AV4)</f>
        <v>21450720.161899999</v>
      </c>
      <c r="AX4"/>
      <c r="AY4" s="347">
        <f>AS4*(1+AY26)</f>
        <v>4436226.574772479</v>
      </c>
      <c r="AZ4" s="348">
        <f>AT4*(1+AZ26)</f>
        <v>5888894.6504128221</v>
      </c>
      <c r="BA4" s="348">
        <f>AU4*(1+BA26)</f>
        <v>7213943.73123887</v>
      </c>
      <c r="BB4" s="348">
        <f>AV4*(1+BB26)</f>
        <v>5441324.7070943536</v>
      </c>
      <c r="BC4" s="349">
        <f>SUM(AY4:BB4)</f>
        <v>22980389.663518522</v>
      </c>
      <c r="BD4"/>
      <c r="BE4" s="347">
        <f>AY4*(1+BE26)</f>
        <v>4596701.8075773763</v>
      </c>
      <c r="BF4" s="348">
        <f>AZ4*(1+BF26)</f>
        <v>6650009.5618664939</v>
      </c>
      <c r="BG4" s="348">
        <f>BA4*(1+BG26)</f>
        <v>7781505.5501321601</v>
      </c>
      <c r="BH4" s="348">
        <f>BB4*(1+BH26)</f>
        <v>5899470.3666454004</v>
      </c>
      <c r="BI4" s="349">
        <f>SUM(BE4:BH4)</f>
        <v>24927687.28622143</v>
      </c>
    </row>
    <row r="5" spans="1:61" ht="18.75">
      <c r="A5" s="210" t="s">
        <v>1</v>
      </c>
      <c r="C5" s="742">
        <v>1289384</v>
      </c>
      <c r="D5" s="743">
        <v>1593560</v>
      </c>
      <c r="E5" s="743">
        <v>1595686</v>
      </c>
      <c r="F5" s="743">
        <v>1323201</v>
      </c>
      <c r="G5" s="744">
        <v>5801831</v>
      </c>
      <c r="I5" s="742">
        <v>1189325</v>
      </c>
      <c r="J5" s="743">
        <v>1387367</v>
      </c>
      <c r="K5" s="743">
        <v>1439893</v>
      </c>
      <c r="L5" s="743">
        <v>1287017</v>
      </c>
      <c r="M5" s="744">
        <v>5303602</v>
      </c>
      <c r="O5" s="742">
        <v>1321608</v>
      </c>
      <c r="P5" s="743">
        <v>1428311</v>
      </c>
      <c r="Q5" s="743">
        <v>1724799</v>
      </c>
      <c r="R5" s="743">
        <v>1861572</v>
      </c>
      <c r="S5" s="744">
        <v>6336290</v>
      </c>
      <c r="U5" s="742">
        <v>3104221</v>
      </c>
      <c r="V5" s="743">
        <v>3993531</v>
      </c>
      <c r="W5" s="743">
        <v>3796138</v>
      </c>
      <c r="X5" s="743">
        <v>3149010</v>
      </c>
      <c r="Y5" s="744">
        <v>14042900</v>
      </c>
      <c r="AA5" s="742">
        <v>3848758</v>
      </c>
      <c r="AB5" s="743">
        <v>4514112</v>
      </c>
      <c r="AC5" s="743">
        <v>3746731</v>
      </c>
      <c r="AD5" s="743">
        <v>2872438</v>
      </c>
      <c r="AE5" s="744">
        <v>14982039</v>
      </c>
      <c r="AG5" s="742">
        <v>2511914</v>
      </c>
      <c r="AH5" s="754">
        <v>2933944</v>
      </c>
      <c r="AI5" s="300">
        <f>AI4*AI27</f>
        <v>3170173.1278401767</v>
      </c>
      <c r="AJ5" s="300">
        <f t="shared" ref="AJ5:BH5" si="0">AJ4*AJ27</f>
        <v>2595153.0690262546</v>
      </c>
      <c r="AK5" s="301">
        <f>SUM(AG5:AJ5)</f>
        <v>11211184.19686643</v>
      </c>
      <c r="AM5" s="325">
        <f t="shared" si="0"/>
        <v>2737504.9011652665</v>
      </c>
      <c r="AN5" s="300">
        <f t="shared" si="0"/>
        <v>3283814.5724147768</v>
      </c>
      <c r="AO5" s="300">
        <f t="shared" si="0"/>
        <v>3945445.4830001937</v>
      </c>
      <c r="AP5" s="300">
        <f t="shared" si="0"/>
        <v>2879907.7523671649</v>
      </c>
      <c r="AQ5" s="301">
        <f>SUM(AM5:AP5)</f>
        <v>12846672.708947401</v>
      </c>
      <c r="AS5" s="325">
        <f t="shared" si="0"/>
        <v>2848075.1705902983</v>
      </c>
      <c r="AT5" s="300">
        <f t="shared" si="0"/>
        <v>3788701.7516283337</v>
      </c>
      <c r="AU5" s="300">
        <f t="shared" si="0"/>
        <v>4659086.2621761058</v>
      </c>
      <c r="AV5" s="300">
        <f t="shared" si="0"/>
        <v>3389544.5564310681</v>
      </c>
      <c r="AW5" s="301">
        <f>SUM(AS5:AV5)</f>
        <v>14685407.740825806</v>
      </c>
      <c r="AY5" s="325">
        <f t="shared" si="0"/>
        <v>2951100.9106743168</v>
      </c>
      <c r="AZ5" s="300">
        <f t="shared" si="0"/>
        <v>3919857.5397442705</v>
      </c>
      <c r="BA5" s="300">
        <f t="shared" si="0"/>
        <v>4794417.5424567331</v>
      </c>
      <c r="BB5" s="300">
        <f t="shared" si="0"/>
        <v>3625292.1742855152</v>
      </c>
      <c r="BC5" s="301">
        <f>SUM(AY5:BB5)</f>
        <v>15290668.167160835</v>
      </c>
      <c r="BE5" s="325">
        <f t="shared" si="0"/>
        <v>3057853.4846668867</v>
      </c>
      <c r="BF5" s="300">
        <f t="shared" si="0"/>
        <v>4426482.6708398517</v>
      </c>
      <c r="BG5" s="300">
        <f t="shared" si="0"/>
        <v>5171621.5299438015</v>
      </c>
      <c r="BH5" s="300">
        <f t="shared" si="0"/>
        <v>3930532.5272620255</v>
      </c>
      <c r="BI5" s="301">
        <f>SUM(BE5:BH5)</f>
        <v>16586490.212712564</v>
      </c>
    </row>
    <row r="6" spans="1:61" s="274" customFormat="1" ht="15">
      <c r="A6" s="211" t="s">
        <v>98</v>
      </c>
      <c r="B6"/>
      <c r="C6" s="236">
        <f t="shared" ref="C6:AI6" si="1">C4-C5</f>
        <v>411052</v>
      </c>
      <c r="D6" s="237">
        <f t="shared" si="1"/>
        <v>496328</v>
      </c>
      <c r="E6" s="237">
        <f t="shared" si="1"/>
        <v>522781</v>
      </c>
      <c r="F6" s="237">
        <f t="shared" si="1"/>
        <v>492779</v>
      </c>
      <c r="G6" s="238">
        <f t="shared" si="1"/>
        <v>1922940</v>
      </c>
      <c r="H6"/>
      <c r="I6" s="236">
        <f t="shared" si="1"/>
        <v>441975</v>
      </c>
      <c r="J6" s="237">
        <f t="shared" si="1"/>
        <v>517156</v>
      </c>
      <c r="K6" s="237">
        <f t="shared" si="1"/>
        <v>541142</v>
      </c>
      <c r="L6" s="237">
        <f t="shared" si="1"/>
        <v>476556</v>
      </c>
      <c r="M6" s="238">
        <f>M4-M5</f>
        <v>1976829</v>
      </c>
      <c r="N6"/>
      <c r="O6" s="236">
        <f t="shared" si="1"/>
        <v>465413</v>
      </c>
      <c r="P6" s="237">
        <f t="shared" si="1"/>
        <v>517332</v>
      </c>
      <c r="Q6" s="237">
        <f t="shared" si="1"/>
        <v>570651</v>
      </c>
      <c r="R6" s="237">
        <f t="shared" si="1"/>
        <v>669188</v>
      </c>
      <c r="S6" s="238">
        <f t="shared" si="1"/>
        <v>2222584</v>
      </c>
      <c r="T6"/>
      <c r="U6" s="236">
        <f t="shared" si="1"/>
        <v>1069554</v>
      </c>
      <c r="V6" s="237">
        <f t="shared" si="1"/>
        <v>1583151</v>
      </c>
      <c r="W6" s="237">
        <f t="shared" si="1"/>
        <v>1712452</v>
      </c>
      <c r="X6" s="237">
        <f t="shared" si="1"/>
        <v>1485799</v>
      </c>
      <c r="Y6" s="238">
        <f t="shared" si="1"/>
        <v>5850956</v>
      </c>
      <c r="Z6"/>
      <c r="AA6" s="236">
        <f t="shared" si="1"/>
        <v>1832373</v>
      </c>
      <c r="AB6" s="237">
        <f t="shared" si="1"/>
        <v>2412147</v>
      </c>
      <c r="AC6" s="237">
        <f t="shared" si="1"/>
        <v>2014732</v>
      </c>
      <c r="AD6" s="237">
        <f t="shared" si="1"/>
        <v>1485127</v>
      </c>
      <c r="AE6" s="238">
        <f t="shared" si="1"/>
        <v>7744379</v>
      </c>
      <c r="AF6"/>
      <c r="AG6" s="236">
        <f t="shared" si="1"/>
        <v>1371400</v>
      </c>
      <c r="AH6" s="218">
        <f t="shared" si="1"/>
        <v>1594946</v>
      </c>
      <c r="AI6" s="237">
        <f t="shared" si="1"/>
        <v>1727070.4221598231</v>
      </c>
      <c r="AJ6" s="237">
        <f t="shared" ref="AJ6:BH6" si="2">AJ4-AJ5</f>
        <v>1413806.7309737457</v>
      </c>
      <c r="AK6" s="679">
        <f>SUM(AG6:AJ6)</f>
        <v>6107223.1531335684</v>
      </c>
      <c r="AL6"/>
      <c r="AM6" s="236">
        <f t="shared" si="2"/>
        <v>1339974.7988347337</v>
      </c>
      <c r="AN6" s="237">
        <f t="shared" si="2"/>
        <v>1607386.6275852234</v>
      </c>
      <c r="AO6" s="237">
        <f t="shared" si="2"/>
        <v>1931246.7769998061</v>
      </c>
      <c r="AP6" s="237">
        <f t="shared" si="2"/>
        <v>1409679.2336328356</v>
      </c>
      <c r="AQ6" s="679">
        <f>SUM(AM6:AP6)</f>
        <v>6288287.4370525992</v>
      </c>
      <c r="AR6"/>
      <c r="AS6" s="236">
        <f t="shared" si="2"/>
        <v>1433278.5144097023</v>
      </c>
      <c r="AT6" s="237">
        <f t="shared" si="2"/>
        <v>1689443.5923716668</v>
      </c>
      <c r="AU6" s="237">
        <f t="shared" si="2"/>
        <v>2099109.8368238937</v>
      </c>
      <c r="AV6" s="237">
        <f t="shared" si="2"/>
        <v>1543480.477468932</v>
      </c>
      <c r="AW6" s="679">
        <f>SUM(AS6:AV6)</f>
        <v>6765312.4210741948</v>
      </c>
      <c r="AX6"/>
      <c r="AY6" s="236">
        <f t="shared" si="2"/>
        <v>1485125.6640981622</v>
      </c>
      <c r="AZ6" s="237">
        <f t="shared" si="2"/>
        <v>1969037.1106685516</v>
      </c>
      <c r="BA6" s="237">
        <f t="shared" si="2"/>
        <v>2419526.1887821369</v>
      </c>
      <c r="BB6" s="237">
        <f t="shared" si="2"/>
        <v>1816032.5328088384</v>
      </c>
      <c r="BC6" s="679">
        <f>SUM(AY6:BB6)</f>
        <v>7689721.4963576887</v>
      </c>
      <c r="BD6"/>
      <c r="BE6" s="236">
        <f t="shared" si="2"/>
        <v>1538848.3229104895</v>
      </c>
      <c r="BF6" s="237">
        <f t="shared" si="2"/>
        <v>2223526.8910266422</v>
      </c>
      <c r="BG6" s="237">
        <f t="shared" si="2"/>
        <v>2609884.0201883586</v>
      </c>
      <c r="BH6" s="237">
        <f t="shared" si="2"/>
        <v>1968937.8393833749</v>
      </c>
      <c r="BI6" s="679">
        <f>SUM(BE6:BH6)</f>
        <v>8341197.0735088652</v>
      </c>
    </row>
    <row r="7" spans="1:61" s="353" customFormat="1" ht="15">
      <c r="A7" s="212" t="s">
        <v>99</v>
      </c>
      <c r="B7"/>
      <c r="C7" s="239">
        <f t="shared" ref="C7:AI7" si="3">C6/C4</f>
        <v>0.24173329663686255</v>
      </c>
      <c r="D7" s="240">
        <f t="shared" si="3"/>
        <v>0.23749023871135677</v>
      </c>
      <c r="E7" s="240">
        <f t="shared" si="3"/>
        <v>0.24677325632167035</v>
      </c>
      <c r="F7" s="240">
        <f t="shared" si="3"/>
        <v>0.27135706340378196</v>
      </c>
      <c r="G7" s="241">
        <f t="shared" si="3"/>
        <v>0.24893165117775012</v>
      </c>
      <c r="H7"/>
      <c r="I7" s="239">
        <f t="shared" si="3"/>
        <v>0.27093422423833752</v>
      </c>
      <c r="J7" s="240">
        <f t="shared" si="3"/>
        <v>0.27154095802466022</v>
      </c>
      <c r="K7" s="240">
        <f t="shared" si="3"/>
        <v>0.27316125156799348</v>
      </c>
      <c r="L7" s="240">
        <f t="shared" si="3"/>
        <v>0.2702218734353497</v>
      </c>
      <c r="M7" s="241">
        <f>M6/M4</f>
        <v>0.27152636979871109</v>
      </c>
      <c r="N7"/>
      <c r="O7" s="239">
        <f t="shared" si="3"/>
        <v>0.26044069991343133</v>
      </c>
      <c r="P7" s="240">
        <f t="shared" si="3"/>
        <v>0.26589256096827629</v>
      </c>
      <c r="Q7" s="240">
        <f t="shared" si="3"/>
        <v>0.24860092792262956</v>
      </c>
      <c r="R7" s="240">
        <f t="shared" si="3"/>
        <v>0.2644217547298045</v>
      </c>
      <c r="S7" s="241">
        <f t="shared" si="3"/>
        <v>0.25968182263227618</v>
      </c>
      <c r="T7"/>
      <c r="U7" s="239">
        <f t="shared" si="3"/>
        <v>0.25625578762630952</v>
      </c>
      <c r="V7" s="240">
        <f t="shared" si="3"/>
        <v>0.28388762350085589</v>
      </c>
      <c r="W7" s="240">
        <f t="shared" si="3"/>
        <v>0.31086938762913924</v>
      </c>
      <c r="X7" s="240">
        <f t="shared" si="3"/>
        <v>0.32057394382379079</v>
      </c>
      <c r="Y7" s="241">
        <f t="shared" si="3"/>
        <v>0.29410869365898695</v>
      </c>
      <c r="Z7"/>
      <c r="AA7" s="239">
        <f t="shared" si="3"/>
        <v>0.32253665687342892</v>
      </c>
      <c r="AB7" s="240">
        <f t="shared" si="3"/>
        <v>0.34826116089508058</v>
      </c>
      <c r="AC7" s="240">
        <f t="shared" si="3"/>
        <v>0.34969104201484935</v>
      </c>
      <c r="AD7" s="240">
        <f t="shared" si="3"/>
        <v>0.34081579964957492</v>
      </c>
      <c r="AE7" s="241">
        <f t="shared" si="3"/>
        <v>0.34076549150860463</v>
      </c>
      <c r="AF7"/>
      <c r="AG7" s="239">
        <f t="shared" si="3"/>
        <v>0.35315197277377003</v>
      </c>
      <c r="AH7" s="219">
        <f t="shared" si="3"/>
        <v>0.35217150339266357</v>
      </c>
      <c r="AI7" s="240">
        <f t="shared" si="3"/>
        <v>0.35266173808321688</v>
      </c>
      <c r="AJ7" s="240">
        <f t="shared" ref="AJ7:BH7" si="4">AJ6/AJ4</f>
        <v>0.35266173808321688</v>
      </c>
      <c r="AK7" s="241">
        <f t="shared" si="4"/>
        <v>0.35264346366893651</v>
      </c>
      <c r="AL7"/>
      <c r="AM7" s="239">
        <f t="shared" si="4"/>
        <v>0.32862819619549144</v>
      </c>
      <c r="AN7" s="240">
        <f t="shared" si="4"/>
        <v>0.3286281961954915</v>
      </c>
      <c r="AO7" s="240">
        <f t="shared" si="4"/>
        <v>0.32862819619549144</v>
      </c>
      <c r="AP7" s="240">
        <f t="shared" si="4"/>
        <v>0.32862819619549161</v>
      </c>
      <c r="AQ7" s="241">
        <f>AQ6/AQ4</f>
        <v>0.3286281961954915</v>
      </c>
      <c r="AR7"/>
      <c r="AS7" s="239">
        <f t="shared" si="4"/>
        <v>0.33477227528089681</v>
      </c>
      <c r="AT7" s="240">
        <f t="shared" si="4"/>
        <v>0.3083970004961713</v>
      </c>
      <c r="AU7" s="240">
        <f t="shared" si="4"/>
        <v>0.31060209056888655</v>
      </c>
      <c r="AV7" s="240">
        <f t="shared" si="4"/>
        <v>0.31288721765287125</v>
      </c>
      <c r="AW7" s="241">
        <f>AW6/AW4</f>
        <v>0.31538859161896582</v>
      </c>
      <c r="AX7"/>
      <c r="AY7" s="239">
        <f t="shared" si="4"/>
        <v>0.33477227528089681</v>
      </c>
      <c r="AZ7" s="240">
        <f t="shared" si="4"/>
        <v>0.33436446524485181</v>
      </c>
      <c r="BA7" s="240">
        <f t="shared" si="4"/>
        <v>0.33539576671561105</v>
      </c>
      <c r="BB7" s="240">
        <f t="shared" si="4"/>
        <v>0.33374823789528868</v>
      </c>
      <c r="BC7" s="241">
        <f>BC6/BC4</f>
        <v>0.33462102292221607</v>
      </c>
      <c r="BD7"/>
      <c r="BE7" s="239">
        <f t="shared" si="4"/>
        <v>0.33477227528089687</v>
      </c>
      <c r="BF7" s="240">
        <f t="shared" si="4"/>
        <v>0.33436446524485192</v>
      </c>
      <c r="BG7" s="240">
        <f t="shared" si="4"/>
        <v>0.33539576671561105</v>
      </c>
      <c r="BH7" s="240">
        <f t="shared" si="4"/>
        <v>0.33374823789528868</v>
      </c>
      <c r="BI7" s="241">
        <f>BI6/BI4</f>
        <v>0.3346157618929772</v>
      </c>
    </row>
    <row r="8" spans="1:61" ht="18.75">
      <c r="A8" s="210" t="s">
        <v>101</v>
      </c>
      <c r="C8" s="742">
        <v>358908</v>
      </c>
      <c r="D8" s="743">
        <v>391769</v>
      </c>
      <c r="E8" s="743">
        <v>400993</v>
      </c>
      <c r="F8" s="743">
        <v>402302</v>
      </c>
      <c r="G8" s="744">
        <v>1553972</v>
      </c>
      <c r="I8" s="742">
        <v>370084</v>
      </c>
      <c r="J8" s="743">
        <v>401511</v>
      </c>
      <c r="K8" s="743">
        <v>411510</v>
      </c>
      <c r="L8" s="743">
        <v>401418</v>
      </c>
      <c r="M8" s="744">
        <v>1584523</v>
      </c>
      <c r="O8" s="742">
        <v>404466</v>
      </c>
      <c r="P8" s="743">
        <v>388077</v>
      </c>
      <c r="Q8" s="743">
        <v>430893</v>
      </c>
      <c r="R8" s="743">
        <v>455294</v>
      </c>
      <c r="S8" s="744">
        <v>1678730</v>
      </c>
      <c r="U8" s="742">
        <v>821598</v>
      </c>
      <c r="V8" s="743">
        <v>902913</v>
      </c>
      <c r="W8" s="743">
        <v>875012</v>
      </c>
      <c r="X8" s="743">
        <v>864009</v>
      </c>
      <c r="Y8" s="744">
        <v>3463532</v>
      </c>
      <c r="AA8" s="742">
        <v>968568</v>
      </c>
      <c r="AB8" s="743">
        <v>1046279</v>
      </c>
      <c r="AC8" s="743">
        <v>1000204</v>
      </c>
      <c r="AD8" s="743">
        <v>959122</v>
      </c>
      <c r="AE8" s="744">
        <v>3974173</v>
      </c>
      <c r="AG8" s="742">
        <v>904217</v>
      </c>
      <c r="AH8" s="754">
        <v>1017874</v>
      </c>
      <c r="AI8" s="300">
        <f>AI4*AI28</f>
        <v>1042262.6253957662</v>
      </c>
      <c r="AJ8" s="300">
        <f t="shared" ref="AJ8:BH8" si="5">AJ4*AJ28</f>
        <v>892524.21638500679</v>
      </c>
      <c r="AK8" s="301">
        <f>SUM(AG8:AJ8)</f>
        <v>3856877.8417807734</v>
      </c>
      <c r="AM8" s="325">
        <f t="shared" si="5"/>
        <v>910355.25127389864</v>
      </c>
      <c r="AN8" s="300">
        <f t="shared" si="5"/>
        <v>1080312.6038893922</v>
      </c>
      <c r="AO8" s="300">
        <f t="shared" si="5"/>
        <v>1292272.1697808364</v>
      </c>
      <c r="AP8" s="300">
        <f t="shared" si="5"/>
        <v>950854.53635099181</v>
      </c>
      <c r="AQ8" s="301">
        <f>SUM(AM8:AP8)</f>
        <v>4233794.5612951191</v>
      </c>
      <c r="AS8" s="325">
        <f t="shared" si="5"/>
        <v>910962.90876160632</v>
      </c>
      <c r="AT8" s="300">
        <f t="shared" si="5"/>
        <v>1067204.3522012241</v>
      </c>
      <c r="AU8" s="300">
        <f t="shared" si="5"/>
        <v>1307274.5726350604</v>
      </c>
      <c r="AV8" s="300">
        <f t="shared" si="5"/>
        <v>1034571.2200222077</v>
      </c>
      <c r="AW8" s="301">
        <f>SUM(AS8:AV8)</f>
        <v>4320013.0536200991</v>
      </c>
      <c r="AY8" s="325">
        <f t="shared" si="5"/>
        <v>933498.20237197448</v>
      </c>
      <c r="AZ8" s="300">
        <f t="shared" si="5"/>
        <v>1131510.9112340736</v>
      </c>
      <c r="BA8" s="300">
        <f t="shared" si="5"/>
        <v>1378251.921210214</v>
      </c>
      <c r="BB8" s="300">
        <f t="shared" si="5"/>
        <v>1124946.8147402669</v>
      </c>
      <c r="BC8" s="301">
        <f>SUM(AY8:BB8)</f>
        <v>4568207.849556529</v>
      </c>
      <c r="BE8" s="325">
        <f t="shared" si="5"/>
        <v>955078.11562699103</v>
      </c>
      <c r="BF8" s="300">
        <f t="shared" si="5"/>
        <v>1269644.9955961423</v>
      </c>
      <c r="BG8" s="300">
        <f t="shared" si="5"/>
        <v>1491015.5853904963</v>
      </c>
      <c r="BH8" s="300">
        <f t="shared" si="5"/>
        <v>1246052.0990425549</v>
      </c>
      <c r="BI8" s="301">
        <f>SUM(BE8:BH8)</f>
        <v>4961790.7956561837</v>
      </c>
    </row>
    <row r="9" spans="1:61" s="274" customFormat="1" ht="15">
      <c r="A9" s="340" t="s">
        <v>102</v>
      </c>
      <c r="B9"/>
      <c r="C9" s="337">
        <f>C11+C10</f>
        <v>74963</v>
      </c>
      <c r="D9" s="338">
        <f>D11+D10</f>
        <v>129327</v>
      </c>
      <c r="E9" s="338">
        <f t="shared" ref="E9:AI9" si="6">E11+E10</f>
        <v>146892</v>
      </c>
      <c r="F9" s="338">
        <f t="shared" si="6"/>
        <v>115692</v>
      </c>
      <c r="G9" s="339">
        <f t="shared" si="6"/>
        <v>466874</v>
      </c>
      <c r="H9"/>
      <c r="I9" s="337">
        <f>I11+I10</f>
        <v>95467</v>
      </c>
      <c r="J9" s="338">
        <f t="shared" si="6"/>
        <v>139459</v>
      </c>
      <c r="K9" s="338">
        <f t="shared" si="6"/>
        <v>154013</v>
      </c>
      <c r="L9" s="338">
        <f t="shared" si="6"/>
        <v>103405</v>
      </c>
      <c r="M9" s="339">
        <f t="shared" si="6"/>
        <v>492344</v>
      </c>
      <c r="N9"/>
      <c r="O9" s="337">
        <f t="shared" si="6"/>
        <v>90347</v>
      </c>
      <c r="P9" s="338">
        <f t="shared" si="6"/>
        <v>157730</v>
      </c>
      <c r="Q9" s="338">
        <f t="shared" si="6"/>
        <v>169181</v>
      </c>
      <c r="R9" s="338">
        <f t="shared" si="6"/>
        <v>243162</v>
      </c>
      <c r="S9" s="339">
        <f t="shared" si="6"/>
        <v>660420</v>
      </c>
      <c r="T9"/>
      <c r="U9" s="337">
        <f t="shared" si="6"/>
        <v>382287</v>
      </c>
      <c r="V9" s="338">
        <f t="shared" si="6"/>
        <v>807460</v>
      </c>
      <c r="W9" s="338">
        <f t="shared" si="6"/>
        <v>977387</v>
      </c>
      <c r="X9" s="338">
        <f t="shared" si="6"/>
        <v>767642</v>
      </c>
      <c r="Y9" s="339">
        <f t="shared" si="6"/>
        <v>2934776</v>
      </c>
      <c r="Z9"/>
      <c r="AA9" s="337">
        <f t="shared" si="6"/>
        <v>975751</v>
      </c>
      <c r="AB9" s="338">
        <f t="shared" si="6"/>
        <v>1483727</v>
      </c>
      <c r="AC9" s="338">
        <f t="shared" si="6"/>
        <v>1140195</v>
      </c>
      <c r="AD9" s="338">
        <f t="shared" si="6"/>
        <v>667673</v>
      </c>
      <c r="AE9" s="339">
        <f t="shared" si="6"/>
        <v>4267346</v>
      </c>
      <c r="AF9"/>
      <c r="AG9" s="337">
        <f t="shared" si="6"/>
        <v>603732</v>
      </c>
      <c r="AH9" s="344">
        <f t="shared" si="6"/>
        <v>716038</v>
      </c>
      <c r="AI9" s="338">
        <f t="shared" si="6"/>
        <v>831933.00648004259</v>
      </c>
      <c r="AJ9" s="338">
        <f>AJ11+AJ10</f>
        <v>649970.74360693689</v>
      </c>
      <c r="AK9" s="346">
        <f>SUM(AG9:AJ9)</f>
        <v>2801673.7500869799</v>
      </c>
      <c r="AL9"/>
      <c r="AM9" s="337">
        <f t="shared" ref="AM9" si="7">AM11+AM10</f>
        <v>560088.65856594127</v>
      </c>
      <c r="AN9" s="338">
        <f t="shared" ref="AN9" si="8">AN11+AN10</f>
        <v>679709.38183530909</v>
      </c>
      <c r="AO9" s="338">
        <f t="shared" ref="AO9" si="9">AO11+AO10</f>
        <v>823129.87612160516</v>
      </c>
      <c r="AP9" s="338">
        <f t="shared" ref="AP9" si="10">AP11+AP10</f>
        <v>594633.34699953906</v>
      </c>
      <c r="AQ9" s="346">
        <f>SUM(AM9:AP9)</f>
        <v>2657561.2635223945</v>
      </c>
      <c r="AR9"/>
      <c r="AS9" s="337">
        <f t="shared" ref="AS9" si="11">AS11+AS10</f>
        <v>629316.729156413</v>
      </c>
      <c r="AT9" s="338">
        <f t="shared" ref="AT9" si="12">AT11+AT10</f>
        <v>739890.71554607188</v>
      </c>
      <c r="AU9" s="338">
        <f t="shared" ref="AU9" si="13">AU11+AU10</f>
        <v>942454.11256285734</v>
      </c>
      <c r="AV9" s="338">
        <f t="shared" ref="AV9" si="14">AV11+AV10</f>
        <v>636619.54994517192</v>
      </c>
      <c r="AW9" s="346">
        <f>SUM(AS9:AV9)</f>
        <v>2948281.1072105141</v>
      </c>
      <c r="AX9"/>
      <c r="AY9" s="337">
        <f t="shared" ref="AY9" si="15">AY11+AY10</f>
        <v>670292.25483185938</v>
      </c>
      <c r="AZ9" s="338">
        <f t="shared" ref="AZ9" si="16">AZ11+AZ10</f>
        <v>972805.58576479065</v>
      </c>
      <c r="BA9" s="338">
        <f t="shared" ref="BA9" si="17">BA11+BA10</f>
        <v>1214049.0503168756</v>
      </c>
      <c r="BB9" s="338">
        <f t="shared" ref="BB9" si="18">BB11+BB10</f>
        <v>840897.73816932831</v>
      </c>
      <c r="BC9" s="346">
        <f>SUM(AY9:BB9)</f>
        <v>3698044.6290828539</v>
      </c>
      <c r="BD9"/>
      <c r="BE9" s="337">
        <f t="shared" ref="BE9" si="19">BE11+BE10</f>
        <v>714616.32378781668</v>
      </c>
      <c r="BF9" s="338">
        <f t="shared" ref="BF9" si="20">BF11+BF10</f>
        <v>1115885.4128598133</v>
      </c>
      <c r="BG9" s="338">
        <f t="shared" ref="BG9" si="21">BG11+BG10</f>
        <v>1319673.8684783666</v>
      </c>
      <c r="BH9" s="338">
        <f t="shared" ref="BH9" si="22">BH11+BH10</f>
        <v>901011.38258121675</v>
      </c>
      <c r="BI9" s="346">
        <f>SUM(BE9:BH9)</f>
        <v>4051186.9877072135</v>
      </c>
    </row>
    <row r="10" spans="1:61" s="314" customFormat="1" ht="18.75">
      <c r="A10" s="210" t="s">
        <v>103</v>
      </c>
      <c r="B10"/>
      <c r="C10" s="742">
        <v>22819</v>
      </c>
      <c r="D10" s="743">
        <v>24768</v>
      </c>
      <c r="E10" s="743">
        <v>25104</v>
      </c>
      <c r="F10" s="743">
        <v>25215</v>
      </c>
      <c r="G10" s="744">
        <v>97906</v>
      </c>
      <c r="H10"/>
      <c r="I10" s="742">
        <v>23576</v>
      </c>
      <c r="J10" s="743">
        <v>23814</v>
      </c>
      <c r="K10" s="743">
        <v>24381</v>
      </c>
      <c r="L10" s="743">
        <v>28267</v>
      </c>
      <c r="M10" s="744">
        <v>100038</v>
      </c>
      <c r="N10"/>
      <c r="O10" s="742">
        <v>29400</v>
      </c>
      <c r="P10" s="743">
        <v>28475</v>
      </c>
      <c r="Q10" s="743">
        <v>29423</v>
      </c>
      <c r="R10" s="743">
        <v>29268</v>
      </c>
      <c r="S10" s="744">
        <v>116566</v>
      </c>
      <c r="T10"/>
      <c r="U10" s="742">
        <v>134331</v>
      </c>
      <c r="V10" s="743">
        <v>127222</v>
      </c>
      <c r="W10" s="743">
        <v>139947</v>
      </c>
      <c r="X10" s="743">
        <v>145852</v>
      </c>
      <c r="Y10" s="744">
        <v>547352</v>
      </c>
      <c r="Z10"/>
      <c r="AA10" s="742">
        <v>111946</v>
      </c>
      <c r="AB10" s="743">
        <v>117859</v>
      </c>
      <c r="AC10" s="743">
        <v>125667</v>
      </c>
      <c r="AD10" s="743">
        <v>141668</v>
      </c>
      <c r="AE10" s="744">
        <v>497140</v>
      </c>
      <c r="AF10"/>
      <c r="AG10" s="742">
        <v>136549</v>
      </c>
      <c r="AH10" s="754">
        <v>138966</v>
      </c>
      <c r="AI10" s="300">
        <f>AI4*AI29</f>
        <v>147125.20971598575</v>
      </c>
      <c r="AJ10" s="300">
        <f>AJ4*AJ29</f>
        <v>128688.22901819795</v>
      </c>
      <c r="AK10" s="301">
        <f>SUM(AG10:AJ10)</f>
        <v>551328.43873418367</v>
      </c>
      <c r="AL10"/>
      <c r="AM10" s="325">
        <f t="shared" ref="AM10:BH10" si="23">AM4*AM29</f>
        <v>130469.1110051062</v>
      </c>
      <c r="AN10" s="300">
        <f t="shared" si="23"/>
        <v>152635.35813947787</v>
      </c>
      <c r="AO10" s="300">
        <f t="shared" si="23"/>
        <v>184155.26890263555</v>
      </c>
      <c r="AP10" s="300">
        <f t="shared" si="23"/>
        <v>135808.64971769531</v>
      </c>
      <c r="AQ10" s="301">
        <f>SUM(AM10:AP10)</f>
        <v>603068.38776491489</v>
      </c>
      <c r="AR10"/>
      <c r="AS10" s="325">
        <f t="shared" si="23"/>
        <v>107001.12350831706</v>
      </c>
      <c r="AT10" s="300">
        <f t="shared" si="23"/>
        <v>117651.47537562915</v>
      </c>
      <c r="AU10" s="300">
        <f t="shared" si="23"/>
        <v>150618.84837402406</v>
      </c>
      <c r="AV10" s="300">
        <f t="shared" si="23"/>
        <v>127710.29249844757</v>
      </c>
      <c r="AW10" s="301">
        <f>SUM(AS10:AV10)</f>
        <v>502981.73975641781</v>
      </c>
      <c r="AX10"/>
      <c r="AY10" s="325">
        <f t="shared" si="23"/>
        <v>118664.79310567171</v>
      </c>
      <c r="AZ10" s="300">
        <f t="shared" si="23"/>
        <v>135279.38633031255</v>
      </c>
      <c r="BA10" s="300">
        <f t="shared" si="23"/>
        <v>172774.78274495274</v>
      </c>
      <c r="BB10" s="300">
        <f t="shared" si="23"/>
        <v>149812.02010075678</v>
      </c>
      <c r="BC10" s="301">
        <f>SUM(AY10:BB10)</f>
        <v>576530.98228169372</v>
      </c>
      <c r="BD10"/>
      <c r="BE10" s="325">
        <f t="shared" si="23"/>
        <v>130846.11650431821</v>
      </c>
      <c r="BF10" s="300">
        <f t="shared" si="23"/>
        <v>162003.51742931348</v>
      </c>
      <c r="BG10" s="300">
        <f t="shared" si="23"/>
        <v>200805.43368050441</v>
      </c>
      <c r="BH10" s="300">
        <f t="shared" si="23"/>
        <v>178125.64224039673</v>
      </c>
      <c r="BI10" s="301">
        <f>SUM(BE10:BH10)</f>
        <v>671780.70985453285</v>
      </c>
    </row>
    <row r="11" spans="1:61" s="274" customFormat="1" ht="15">
      <c r="A11" s="213" t="s">
        <v>108</v>
      </c>
      <c r="B11"/>
      <c r="C11" s="236">
        <f t="shared" ref="C11:AI11" si="24">C6-C8</f>
        <v>52144</v>
      </c>
      <c r="D11" s="237">
        <f t="shared" si="24"/>
        <v>104559</v>
      </c>
      <c r="E11" s="237">
        <f t="shared" si="24"/>
        <v>121788</v>
      </c>
      <c r="F11" s="237">
        <f t="shared" si="24"/>
        <v>90477</v>
      </c>
      <c r="G11" s="238">
        <f t="shared" si="24"/>
        <v>368968</v>
      </c>
      <c r="H11"/>
      <c r="I11" s="236">
        <f>I6-I8</f>
        <v>71891</v>
      </c>
      <c r="J11" s="237">
        <f t="shared" si="24"/>
        <v>115645</v>
      </c>
      <c r="K11" s="237">
        <f t="shared" si="24"/>
        <v>129632</v>
      </c>
      <c r="L11" s="237">
        <f t="shared" si="24"/>
        <v>75138</v>
      </c>
      <c r="M11" s="238">
        <f>M6-M8</f>
        <v>392306</v>
      </c>
      <c r="N11"/>
      <c r="O11" s="236">
        <f t="shared" si="24"/>
        <v>60947</v>
      </c>
      <c r="P11" s="237">
        <f t="shared" si="24"/>
        <v>129255</v>
      </c>
      <c r="Q11" s="237">
        <f t="shared" si="24"/>
        <v>139758</v>
      </c>
      <c r="R11" s="237">
        <f t="shared" si="24"/>
        <v>213894</v>
      </c>
      <c r="S11" s="238">
        <f t="shared" si="24"/>
        <v>543854</v>
      </c>
      <c r="T11"/>
      <c r="U11" s="236">
        <f t="shared" si="24"/>
        <v>247956</v>
      </c>
      <c r="V11" s="237">
        <f t="shared" si="24"/>
        <v>680238</v>
      </c>
      <c r="W11" s="237">
        <f t="shared" si="24"/>
        <v>837440</v>
      </c>
      <c r="X11" s="237">
        <f t="shared" si="24"/>
        <v>621790</v>
      </c>
      <c r="Y11" s="238">
        <f t="shared" si="24"/>
        <v>2387424</v>
      </c>
      <c r="Z11"/>
      <c r="AA11" s="236">
        <f t="shared" si="24"/>
        <v>863805</v>
      </c>
      <c r="AB11" s="237">
        <f t="shared" si="24"/>
        <v>1365868</v>
      </c>
      <c r="AC11" s="237">
        <f t="shared" si="24"/>
        <v>1014528</v>
      </c>
      <c r="AD11" s="237">
        <f t="shared" si="24"/>
        <v>526005</v>
      </c>
      <c r="AE11" s="238">
        <f t="shared" si="24"/>
        <v>3770206</v>
      </c>
      <c r="AF11"/>
      <c r="AG11" s="236">
        <f t="shared" si="24"/>
        <v>467183</v>
      </c>
      <c r="AH11" s="218">
        <f t="shared" si="24"/>
        <v>577072</v>
      </c>
      <c r="AI11" s="237">
        <f t="shared" si="24"/>
        <v>684807.7967640569</v>
      </c>
      <c r="AJ11" s="237">
        <f>AJ6-AJ8</f>
        <v>521282.51458873891</v>
      </c>
      <c r="AK11" s="679">
        <f>SUM(AG11:AJ11)</f>
        <v>2250345.3113527959</v>
      </c>
      <c r="AL11"/>
      <c r="AM11" s="236">
        <f t="shared" ref="AM11:BH11" si="25">AM6-AM8</f>
        <v>429619.54756083502</v>
      </c>
      <c r="AN11" s="237">
        <f t="shared" si="25"/>
        <v>527074.02369583119</v>
      </c>
      <c r="AO11" s="237">
        <f t="shared" si="25"/>
        <v>638974.60721896961</v>
      </c>
      <c r="AP11" s="237">
        <f t="shared" si="25"/>
        <v>458824.69728184375</v>
      </c>
      <c r="AQ11" s="679">
        <f>SUM(AM11:AP11)</f>
        <v>2054492.8757574796</v>
      </c>
      <c r="AR11"/>
      <c r="AS11" s="236">
        <f t="shared" si="25"/>
        <v>522315.60564809595</v>
      </c>
      <c r="AT11" s="237">
        <f t="shared" si="25"/>
        <v>622239.24017044273</v>
      </c>
      <c r="AU11" s="237">
        <f t="shared" si="25"/>
        <v>791835.2641888333</v>
      </c>
      <c r="AV11" s="237">
        <f t="shared" si="25"/>
        <v>508909.25744672434</v>
      </c>
      <c r="AW11" s="679">
        <f>SUM(AS11:AV11)</f>
        <v>2445299.3674540962</v>
      </c>
      <c r="AX11"/>
      <c r="AY11" s="236">
        <f t="shared" si="25"/>
        <v>551627.46172618773</v>
      </c>
      <c r="AZ11" s="237">
        <f t="shared" si="25"/>
        <v>837526.19943447807</v>
      </c>
      <c r="BA11" s="237">
        <f t="shared" si="25"/>
        <v>1041274.2675719229</v>
      </c>
      <c r="BB11" s="237">
        <f t="shared" si="25"/>
        <v>691085.71806857153</v>
      </c>
      <c r="BC11" s="679">
        <f>SUM(AY11:BB11)</f>
        <v>3121513.6468011606</v>
      </c>
      <c r="BD11"/>
      <c r="BE11" s="236">
        <f t="shared" si="25"/>
        <v>583770.20728349849</v>
      </c>
      <c r="BF11" s="237">
        <f t="shared" si="25"/>
        <v>953881.89543049992</v>
      </c>
      <c r="BG11" s="237">
        <f t="shared" si="25"/>
        <v>1118868.4347978623</v>
      </c>
      <c r="BH11" s="237">
        <f t="shared" si="25"/>
        <v>722885.74034082005</v>
      </c>
      <c r="BI11" s="679">
        <f>SUM(BE11:BH11)</f>
        <v>3379406.277852681</v>
      </c>
    </row>
    <row r="12" spans="1:61" ht="15" hidden="1" customHeight="1">
      <c r="A12" s="214" t="s">
        <v>2</v>
      </c>
      <c r="C12" s="242">
        <v>52144</v>
      </c>
      <c r="D12" s="243">
        <v>104559</v>
      </c>
      <c r="E12" s="243">
        <v>121788</v>
      </c>
      <c r="F12" s="243">
        <v>90477</v>
      </c>
      <c r="G12" s="244">
        <v>368968</v>
      </c>
      <c r="I12" s="242">
        <v>71891</v>
      </c>
      <c r="J12" s="243">
        <v>115645</v>
      </c>
      <c r="K12" s="243">
        <v>129632</v>
      </c>
      <c r="L12" s="243">
        <v>75138</v>
      </c>
      <c r="M12" s="244">
        <v>392306</v>
      </c>
      <c r="O12" s="242">
        <v>60947</v>
      </c>
      <c r="P12" s="243">
        <v>129255</v>
      </c>
      <c r="Q12" s="243">
        <v>139758</v>
      </c>
      <c r="R12" s="243">
        <v>213894</v>
      </c>
      <c r="S12" s="244">
        <v>543854</v>
      </c>
      <c r="U12" s="242">
        <v>247956</v>
      </c>
      <c r="V12" s="243">
        <v>680238</v>
      </c>
      <c r="W12" s="243">
        <v>837440</v>
      </c>
      <c r="X12" s="243">
        <v>621790</v>
      </c>
      <c r="Y12" s="244">
        <v>2387424</v>
      </c>
      <c r="AA12" s="242">
        <v>863805</v>
      </c>
      <c r="AB12" s="243">
        <v>1365868</v>
      </c>
      <c r="AC12" s="243">
        <v>1014528</v>
      </c>
      <c r="AD12" s="243">
        <v>526005</v>
      </c>
      <c r="AE12" s="244">
        <v>3770206</v>
      </c>
      <c r="AG12" s="242">
        <v>467183</v>
      </c>
      <c r="AH12" s="220">
        <v>577072</v>
      </c>
      <c r="AI12" s="302" t="s">
        <v>100</v>
      </c>
      <c r="AJ12" s="302" t="s">
        <v>100</v>
      </c>
      <c r="AK12" s="303" t="s">
        <v>100</v>
      </c>
      <c r="AM12" s="326" t="s">
        <v>100</v>
      </c>
      <c r="AN12" s="302" t="s">
        <v>100</v>
      </c>
      <c r="AO12" s="302" t="s">
        <v>100</v>
      </c>
      <c r="AP12" s="302" t="s">
        <v>100</v>
      </c>
      <c r="AQ12" s="303" t="s">
        <v>100</v>
      </c>
      <c r="AS12" s="326" t="s">
        <v>100</v>
      </c>
      <c r="AT12" s="302" t="s">
        <v>100</v>
      </c>
      <c r="AU12" s="302" t="s">
        <v>100</v>
      </c>
      <c r="AV12" s="302" t="s">
        <v>100</v>
      </c>
      <c r="AW12" s="303" t="s">
        <v>100</v>
      </c>
      <c r="AY12" s="326" t="s">
        <v>100</v>
      </c>
      <c r="AZ12" s="302" t="s">
        <v>100</v>
      </c>
      <c r="BA12" s="302" t="s">
        <v>100</v>
      </c>
      <c r="BB12" s="302" t="s">
        <v>100</v>
      </c>
      <c r="BC12" s="303" t="s">
        <v>100</v>
      </c>
      <c r="BE12" s="326" t="s">
        <v>100</v>
      </c>
      <c r="BF12" s="302" t="s">
        <v>100</v>
      </c>
      <c r="BG12" s="302" t="s">
        <v>100</v>
      </c>
      <c r="BH12" s="302" t="s">
        <v>100</v>
      </c>
      <c r="BI12" s="303" t="s">
        <v>100</v>
      </c>
    </row>
    <row r="13" spans="1:61" ht="18.75">
      <c r="A13" s="210" t="s">
        <v>3</v>
      </c>
      <c r="C13" s="742">
        <v>26742</v>
      </c>
      <c r="D13" s="743">
        <v>28957</v>
      </c>
      <c r="E13" s="743">
        <v>29106</v>
      </c>
      <c r="F13" s="743">
        <v>23408</v>
      </c>
      <c r="G13" s="744">
        <v>108213</v>
      </c>
      <c r="I13" s="742">
        <v>24901</v>
      </c>
      <c r="J13" s="743">
        <v>29382</v>
      </c>
      <c r="K13" s="743">
        <v>27788</v>
      </c>
      <c r="L13" s="743">
        <v>27480</v>
      </c>
      <c r="M13" s="744">
        <v>109551</v>
      </c>
      <c r="O13" s="742">
        <v>51931</v>
      </c>
      <c r="P13" s="743">
        <v>26812</v>
      </c>
      <c r="Q13" s="743">
        <v>28043</v>
      </c>
      <c r="R13" s="743">
        <v>28902</v>
      </c>
      <c r="S13" s="744">
        <v>135688</v>
      </c>
      <c r="U13" s="742">
        <v>31844</v>
      </c>
      <c r="V13" s="743">
        <v>27795</v>
      </c>
      <c r="W13" s="743">
        <v>35954</v>
      </c>
      <c r="X13" s="743">
        <v>40284</v>
      </c>
      <c r="Y13" s="744">
        <v>135877</v>
      </c>
      <c r="AA13" s="742">
        <v>41314</v>
      </c>
      <c r="AB13" s="743">
        <v>70715</v>
      </c>
      <c r="AC13" s="743">
        <v>44111</v>
      </c>
      <c r="AD13" s="743">
        <v>42233</v>
      </c>
      <c r="AE13" s="744">
        <v>198373</v>
      </c>
      <c r="AG13" s="742">
        <v>42108</v>
      </c>
      <c r="AH13" s="754">
        <v>53016</v>
      </c>
      <c r="AI13" s="300">
        <f>'Debt Schedule'!C46</f>
        <v>48076.862500000003</v>
      </c>
      <c r="AJ13" s="300">
        <f>'Debt Schedule'!D46</f>
        <v>48148.637499999997</v>
      </c>
      <c r="AK13" s="301">
        <f>SUM(AG13:AJ13)</f>
        <v>191349.5</v>
      </c>
      <c r="AL13" s="571"/>
      <c r="AM13" s="300">
        <f>'Debt Schedule'!E46</f>
        <v>47861.537499999999</v>
      </c>
      <c r="AN13" s="300">
        <f>'Debt Schedule'!F46</f>
        <v>47263.412500000006</v>
      </c>
      <c r="AO13" s="300">
        <f>'Debt Schedule'!G46</f>
        <v>46043.237500000003</v>
      </c>
      <c r="AP13" s="300">
        <f>'Debt Schedule'!H46</f>
        <v>46043.237500000003</v>
      </c>
      <c r="AQ13" s="301">
        <f>SUM(AM13:AP13)</f>
        <v>187211.42499999999</v>
      </c>
      <c r="AS13" s="325">
        <f>'Debt Schedule'!I46</f>
        <v>44703.4375</v>
      </c>
      <c r="AT13" s="300">
        <f>'Debt Schedule'!J46</f>
        <v>44655.587500000001</v>
      </c>
      <c r="AU13" s="300">
        <f>'Debt Schedule'!K46</f>
        <v>44009.612500000003</v>
      </c>
      <c r="AV13" s="300">
        <f>'Debt Schedule'!L46</f>
        <v>43985.6875</v>
      </c>
      <c r="AW13" s="301">
        <f>SUM(AS13:AV13)</f>
        <v>177354.32500000001</v>
      </c>
      <c r="AY13" s="325">
        <f>'Debt Schedule'!M46</f>
        <v>43985.6875</v>
      </c>
      <c r="AZ13" s="300">
        <f>'Debt Schedule'!N46</f>
        <v>43985.6875</v>
      </c>
      <c r="BA13" s="300">
        <f>'Debt Schedule'!O46</f>
        <v>43722.512499999997</v>
      </c>
      <c r="BB13" s="300">
        <f>'Debt Schedule'!P46</f>
        <v>43722.512499999997</v>
      </c>
      <c r="BC13" s="301">
        <f>SUM(AY13:BB13)</f>
        <v>175416.40000000002</v>
      </c>
      <c r="BE13" s="325">
        <f>'Debt Schedule'!Q46</f>
        <v>43722.512499999997</v>
      </c>
      <c r="BF13" s="300">
        <f>'Debt Schedule'!R46</f>
        <v>43722.512499999997</v>
      </c>
      <c r="BG13" s="300">
        <f>'Debt Schedule'!S46</f>
        <v>43746.4375</v>
      </c>
      <c r="BH13" s="300">
        <f>'Debt Schedule'!T46</f>
        <v>43746.4375</v>
      </c>
      <c r="BI13" s="301">
        <f>SUM(BE13:BH13)</f>
        <v>174937.9</v>
      </c>
    </row>
    <row r="14" spans="1:61" s="274" customFormat="1" ht="16.5" customHeight="1">
      <c r="A14" s="215" t="s">
        <v>109</v>
      </c>
      <c r="B14"/>
      <c r="C14" s="245">
        <f>C11-C13</f>
        <v>25402</v>
      </c>
      <c r="D14" s="246">
        <f t="shared" ref="D14:AG14" si="26">D11-D13</f>
        <v>75602</v>
      </c>
      <c r="E14" s="246">
        <f t="shared" si="26"/>
        <v>92682</v>
      </c>
      <c r="F14" s="246">
        <f t="shared" si="26"/>
        <v>67069</v>
      </c>
      <c r="G14" s="247">
        <f t="shared" si="26"/>
        <v>260755</v>
      </c>
      <c r="H14"/>
      <c r="I14" s="245">
        <f>I11-I13</f>
        <v>46990</v>
      </c>
      <c r="J14" s="246">
        <f t="shared" si="26"/>
        <v>86263</v>
      </c>
      <c r="K14" s="246">
        <f t="shared" si="26"/>
        <v>101844</v>
      </c>
      <c r="L14" s="246">
        <f t="shared" si="26"/>
        <v>47658</v>
      </c>
      <c r="M14" s="247">
        <f>M11-M13</f>
        <v>282755</v>
      </c>
      <c r="N14"/>
      <c r="O14" s="245">
        <f t="shared" si="26"/>
        <v>9016</v>
      </c>
      <c r="P14" s="246">
        <f t="shared" si="26"/>
        <v>102443</v>
      </c>
      <c r="Q14" s="246">
        <f t="shared" si="26"/>
        <v>111715</v>
      </c>
      <c r="R14" s="246">
        <f t="shared" si="26"/>
        <v>184992</v>
      </c>
      <c r="S14" s="247">
        <f t="shared" si="26"/>
        <v>408166</v>
      </c>
      <c r="T14"/>
      <c r="U14" s="245">
        <f t="shared" si="26"/>
        <v>216112</v>
      </c>
      <c r="V14" s="246">
        <f t="shared" si="26"/>
        <v>652443</v>
      </c>
      <c r="W14" s="246">
        <f t="shared" si="26"/>
        <v>801486</v>
      </c>
      <c r="X14" s="246">
        <f t="shared" si="26"/>
        <v>581506</v>
      </c>
      <c r="Y14" s="247">
        <f t="shared" si="26"/>
        <v>2251547</v>
      </c>
      <c r="Z14"/>
      <c r="AA14" s="245">
        <f t="shared" si="26"/>
        <v>822491</v>
      </c>
      <c r="AB14" s="246">
        <f t="shared" si="26"/>
        <v>1295153</v>
      </c>
      <c r="AC14" s="246">
        <f t="shared" si="26"/>
        <v>970417</v>
      </c>
      <c r="AD14" s="246">
        <f t="shared" si="26"/>
        <v>483772</v>
      </c>
      <c r="AE14" s="247">
        <f t="shared" si="26"/>
        <v>3571833</v>
      </c>
      <c r="AF14"/>
      <c r="AG14" s="245">
        <f t="shared" si="26"/>
        <v>425075</v>
      </c>
      <c r="AH14" s="221">
        <f>AH11-AH13</f>
        <v>524056</v>
      </c>
      <c r="AI14" s="246">
        <f>AI11-AI13</f>
        <v>636730.93426405685</v>
      </c>
      <c r="AJ14" s="246">
        <f>AJ11-AJ13</f>
        <v>473133.8770887389</v>
      </c>
      <c r="AK14" s="679">
        <f>SUM(AG14:AJ14)</f>
        <v>2058995.8113527957</v>
      </c>
      <c r="AL14" s="571"/>
      <c r="AM14" s="246">
        <f t="shared" ref="AM14:BH14" si="27">AM11-AM13</f>
        <v>381758.01006083505</v>
      </c>
      <c r="AN14" s="246">
        <f t="shared" si="27"/>
        <v>479810.61119583121</v>
      </c>
      <c r="AO14" s="246">
        <f t="shared" si="27"/>
        <v>592931.36971896957</v>
      </c>
      <c r="AP14" s="246">
        <f t="shared" si="27"/>
        <v>412781.45978184376</v>
      </c>
      <c r="AQ14" s="679">
        <f>SUM(AM14:AP14)</f>
        <v>1867281.4507574795</v>
      </c>
      <c r="AR14"/>
      <c r="AS14" s="245">
        <f t="shared" si="27"/>
        <v>477612.16814809595</v>
      </c>
      <c r="AT14" s="246">
        <f t="shared" si="27"/>
        <v>577583.65267044271</v>
      </c>
      <c r="AU14" s="246">
        <f t="shared" si="27"/>
        <v>747825.65168883326</v>
      </c>
      <c r="AV14" s="246">
        <f t="shared" si="27"/>
        <v>464923.56994672434</v>
      </c>
      <c r="AW14" s="679">
        <f>SUM(AS14:AV14)</f>
        <v>2267945.0424540965</v>
      </c>
      <c r="AX14"/>
      <c r="AY14" s="245">
        <f t="shared" si="27"/>
        <v>507641.77422618773</v>
      </c>
      <c r="AZ14" s="246">
        <f t="shared" si="27"/>
        <v>793540.51193447807</v>
      </c>
      <c r="BA14" s="246">
        <f t="shared" si="27"/>
        <v>997551.7550719229</v>
      </c>
      <c r="BB14" s="246">
        <f t="shared" si="27"/>
        <v>647363.20556857157</v>
      </c>
      <c r="BC14" s="679">
        <f>SUM(AY14:BB14)</f>
        <v>2946097.2468011603</v>
      </c>
      <c r="BD14"/>
      <c r="BE14" s="245">
        <f t="shared" si="27"/>
        <v>540047.69478349853</v>
      </c>
      <c r="BF14" s="246">
        <f t="shared" si="27"/>
        <v>910159.38293049997</v>
      </c>
      <c r="BG14" s="246">
        <f t="shared" si="27"/>
        <v>1075121.9972978623</v>
      </c>
      <c r="BH14" s="246">
        <f t="shared" si="27"/>
        <v>679139.30284082005</v>
      </c>
      <c r="BI14" s="679">
        <f>SUM(BE14:BH14)</f>
        <v>3204468.3778526806</v>
      </c>
    </row>
    <row r="15" spans="1:61" hidden="1">
      <c r="A15" s="214" t="s">
        <v>4</v>
      </c>
      <c r="C15" s="242">
        <v>25402</v>
      </c>
      <c r="D15" s="243">
        <v>75602</v>
      </c>
      <c r="E15" s="243">
        <v>92682</v>
      </c>
      <c r="F15" s="243">
        <v>67069</v>
      </c>
      <c r="G15" s="244">
        <v>260755</v>
      </c>
      <c r="I15" s="242">
        <v>46990</v>
      </c>
      <c r="J15" s="243">
        <v>86263</v>
      </c>
      <c r="K15" s="243">
        <v>101844</v>
      </c>
      <c r="L15" s="243">
        <v>47658</v>
      </c>
      <c r="M15" s="244">
        <v>282755</v>
      </c>
      <c r="O15" s="242">
        <v>9016</v>
      </c>
      <c r="P15" s="243">
        <v>102443</v>
      </c>
      <c r="Q15" s="243">
        <v>111715</v>
      </c>
      <c r="R15" s="243">
        <v>184992</v>
      </c>
      <c r="S15" s="244">
        <v>408166</v>
      </c>
      <c r="U15" s="242">
        <v>216112</v>
      </c>
      <c r="V15" s="243">
        <v>652443</v>
      </c>
      <c r="W15" s="243">
        <v>801486</v>
      </c>
      <c r="X15" s="243">
        <v>581506</v>
      </c>
      <c r="Y15" s="244">
        <v>2251547</v>
      </c>
      <c r="AA15" s="242">
        <v>822491</v>
      </c>
      <c r="AB15" s="243">
        <v>1295153</v>
      </c>
      <c r="AC15" s="243">
        <v>970417</v>
      </c>
      <c r="AD15" s="243">
        <v>483772</v>
      </c>
      <c r="AE15" s="244">
        <v>3571833</v>
      </c>
      <c r="AG15" s="242">
        <v>425075</v>
      </c>
      <c r="AH15" s="220">
        <v>524056</v>
      </c>
      <c r="AI15" s="302" t="s">
        <v>100</v>
      </c>
      <c r="AJ15" s="302" t="s">
        <v>100</v>
      </c>
      <c r="AK15" s="303" t="s">
        <v>100</v>
      </c>
      <c r="AM15" s="326" t="s">
        <v>100</v>
      </c>
      <c r="AN15" s="302" t="s">
        <v>100</v>
      </c>
      <c r="AO15" s="302" t="s">
        <v>100</v>
      </c>
      <c r="AP15" s="302" t="s">
        <v>100</v>
      </c>
      <c r="AQ15" s="303" t="s">
        <v>100</v>
      </c>
      <c r="AS15" s="326" t="s">
        <v>100</v>
      </c>
      <c r="AT15" s="302" t="s">
        <v>100</v>
      </c>
      <c r="AU15" s="302" t="s">
        <v>100</v>
      </c>
      <c r="AV15" s="302" t="s">
        <v>100</v>
      </c>
      <c r="AW15" s="303" t="s">
        <v>100</v>
      </c>
      <c r="AY15" s="326" t="s">
        <v>100</v>
      </c>
      <c r="AZ15" s="302" t="s">
        <v>100</v>
      </c>
      <c r="BA15" s="302" t="s">
        <v>100</v>
      </c>
      <c r="BB15" s="302" t="s">
        <v>100</v>
      </c>
      <c r="BC15" s="303" t="s">
        <v>100</v>
      </c>
      <c r="BE15" s="326" t="s">
        <v>100</v>
      </c>
      <c r="BF15" s="302" t="s">
        <v>100</v>
      </c>
      <c r="BG15" s="302" t="s">
        <v>100</v>
      </c>
      <c r="BH15" s="302" t="s">
        <v>100</v>
      </c>
      <c r="BI15" s="303" t="s">
        <v>100</v>
      </c>
    </row>
    <row r="16" spans="1:61" ht="18.75">
      <c r="A16" s="210" t="s">
        <v>5</v>
      </c>
      <c r="C16" s="742">
        <v>2182</v>
      </c>
      <c r="D16" s="743">
        <v>18980</v>
      </c>
      <c r="E16" s="743">
        <v>19354</v>
      </c>
      <c r="F16" s="743">
        <v>15048</v>
      </c>
      <c r="G16" s="744">
        <v>55564</v>
      </c>
      <c r="I16" s="742">
        <v>11282</v>
      </c>
      <c r="J16" s="743">
        <v>19659</v>
      </c>
      <c r="K16" s="743">
        <v>23714</v>
      </c>
      <c r="L16" s="743">
        <v>6291</v>
      </c>
      <c r="M16" s="744">
        <v>60946</v>
      </c>
      <c r="O16" s="742">
        <v>249</v>
      </c>
      <c r="P16" s="743">
        <v>23519</v>
      </c>
      <c r="Q16" s="743">
        <v>25783</v>
      </c>
      <c r="R16" s="743">
        <v>45078</v>
      </c>
      <c r="S16" s="744">
        <v>94629</v>
      </c>
      <c r="U16" s="742">
        <v>43532</v>
      </c>
      <c r="V16" s="743">
        <v>155208</v>
      </c>
      <c r="W16" s="743">
        <v>188341</v>
      </c>
      <c r="X16" s="743">
        <v>139050</v>
      </c>
      <c r="Y16" s="744">
        <v>526131</v>
      </c>
      <c r="AA16" s="742">
        <v>182851</v>
      </c>
      <c r="AB16" s="743">
        <v>307944</v>
      </c>
      <c r="AC16" s="743">
        <v>232410</v>
      </c>
      <c r="AD16" s="743">
        <v>99259</v>
      </c>
      <c r="AE16" s="744">
        <v>822464</v>
      </c>
      <c r="AG16" s="742">
        <v>91289</v>
      </c>
      <c r="AH16" s="754">
        <v>119437</v>
      </c>
      <c r="AI16" s="300">
        <f>AI14*AI31</f>
        <v>141249.33573390593</v>
      </c>
      <c r="AJ16" s="300">
        <f>AJ14*AJ31</f>
        <v>104957.7494287046</v>
      </c>
      <c r="AK16" s="301">
        <f>SUM(AG16:AJ16)</f>
        <v>456933.08516261051</v>
      </c>
      <c r="AM16" s="325">
        <f t="shared" ref="AM16:BH16" si="28">AM14*AM31</f>
        <v>84687.365463900089</v>
      </c>
      <c r="AN16" s="300">
        <f t="shared" si="28"/>
        <v>106438.88409132113</v>
      </c>
      <c r="AO16" s="300">
        <f t="shared" si="28"/>
        <v>131533.05046408696</v>
      </c>
      <c r="AP16" s="300">
        <f t="shared" si="28"/>
        <v>91569.458714688255</v>
      </c>
      <c r="AQ16" s="301">
        <f>SUM(AM16:AP16)</f>
        <v>414228.75873399648</v>
      </c>
      <c r="AS16" s="325">
        <f t="shared" si="28"/>
        <v>105951.19203266477</v>
      </c>
      <c r="AT16" s="300">
        <f t="shared" si="28"/>
        <v>128128.3865448728</v>
      </c>
      <c r="AU16" s="300">
        <f t="shared" si="28"/>
        <v>165894.05486936422</v>
      </c>
      <c r="AV16" s="300">
        <f t="shared" si="28"/>
        <v>103136.41428135338</v>
      </c>
      <c r="AW16" s="301">
        <f>SUM(AS16:AV16)</f>
        <v>503110.04772825516</v>
      </c>
      <c r="AY16" s="325">
        <f t="shared" si="28"/>
        <v>112612.81577768338</v>
      </c>
      <c r="AZ16" s="300">
        <f t="shared" si="28"/>
        <v>176035.22014874397</v>
      </c>
      <c r="BA16" s="300">
        <f t="shared" si="28"/>
        <v>221292.09558030902</v>
      </c>
      <c r="BB16" s="300">
        <f t="shared" si="28"/>
        <v>143607.94779166809</v>
      </c>
      <c r="BC16" s="301">
        <f>SUM(AY16:BB16)</f>
        <v>653548.07929840451</v>
      </c>
      <c r="BE16" s="325">
        <f t="shared" si="28"/>
        <v>119801.58972637869</v>
      </c>
      <c r="BF16" s="300">
        <f t="shared" si="28"/>
        <v>201905.39101026356</v>
      </c>
      <c r="BG16" s="300">
        <f t="shared" si="28"/>
        <v>238499.90597167329</v>
      </c>
      <c r="BH16" s="300">
        <f t="shared" si="28"/>
        <v>150657.00476438887</v>
      </c>
      <c r="BI16" s="301">
        <f>SUM(BE16:BH16)</f>
        <v>710863.89147270448</v>
      </c>
    </row>
    <row r="17" spans="1:61" s="274" customFormat="1" ht="15">
      <c r="A17" s="336" t="s">
        <v>6</v>
      </c>
      <c r="B17"/>
      <c r="C17" s="337">
        <f>C14-C16</f>
        <v>23220</v>
      </c>
      <c r="D17" s="338">
        <f t="shared" ref="D17:AI17" si="29">D14-D16</f>
        <v>56622</v>
      </c>
      <c r="E17" s="338">
        <f t="shared" si="29"/>
        <v>73328</v>
      </c>
      <c r="F17" s="338">
        <f t="shared" si="29"/>
        <v>52021</v>
      </c>
      <c r="G17" s="339">
        <f t="shared" si="29"/>
        <v>205191</v>
      </c>
      <c r="H17"/>
      <c r="I17" s="337">
        <f t="shared" si="29"/>
        <v>35708</v>
      </c>
      <c r="J17" s="338">
        <f t="shared" si="29"/>
        <v>66604</v>
      </c>
      <c r="K17" s="338">
        <f t="shared" si="29"/>
        <v>78130</v>
      </c>
      <c r="L17" s="338">
        <f t="shared" si="29"/>
        <v>41367</v>
      </c>
      <c r="M17" s="339">
        <f>M14-M16</f>
        <v>221809</v>
      </c>
      <c r="N17"/>
      <c r="O17" s="337">
        <f t="shared" si="29"/>
        <v>8767</v>
      </c>
      <c r="P17" s="338">
        <f t="shared" si="29"/>
        <v>78924</v>
      </c>
      <c r="Q17" s="338">
        <f t="shared" si="29"/>
        <v>85932</v>
      </c>
      <c r="R17" s="338">
        <f t="shared" si="29"/>
        <v>139914</v>
      </c>
      <c r="S17" s="339">
        <f t="shared" si="29"/>
        <v>313537</v>
      </c>
      <c r="T17"/>
      <c r="U17" s="337">
        <f t="shared" si="29"/>
        <v>172580</v>
      </c>
      <c r="V17" s="338">
        <f t="shared" si="29"/>
        <v>497235</v>
      </c>
      <c r="W17" s="338">
        <f t="shared" si="29"/>
        <v>613145</v>
      </c>
      <c r="X17" s="338">
        <f t="shared" si="29"/>
        <v>442456</v>
      </c>
      <c r="Y17" s="339">
        <f t="shared" si="29"/>
        <v>1725416</v>
      </c>
      <c r="Z17"/>
      <c r="AA17" s="337">
        <f t="shared" si="29"/>
        <v>639640</v>
      </c>
      <c r="AB17" s="338">
        <f t="shared" si="29"/>
        <v>987209</v>
      </c>
      <c r="AC17" s="338">
        <f t="shared" si="29"/>
        <v>738007</v>
      </c>
      <c r="AD17" s="338">
        <f t="shared" si="29"/>
        <v>384513</v>
      </c>
      <c r="AE17" s="339">
        <f t="shared" si="29"/>
        <v>2749369</v>
      </c>
      <c r="AF17"/>
      <c r="AG17" s="337">
        <f t="shared" si="29"/>
        <v>333786</v>
      </c>
      <c r="AH17" s="344">
        <f t="shared" si="29"/>
        <v>404619</v>
      </c>
      <c r="AI17" s="338">
        <f t="shared" si="29"/>
        <v>495481.59853015095</v>
      </c>
      <c r="AJ17" s="338">
        <f>AJ14-AJ16</f>
        <v>368176.12766003428</v>
      </c>
      <c r="AK17" s="346">
        <f>SUM(AG17:AJ17)</f>
        <v>1602062.7261901852</v>
      </c>
      <c r="AL17"/>
      <c r="AM17" s="337">
        <f t="shared" ref="AM17" si="30">AM14-AM16</f>
        <v>297070.64459693496</v>
      </c>
      <c r="AN17" s="338">
        <f t="shared" ref="AN17" si="31">AN14-AN16</f>
        <v>373371.72710451006</v>
      </c>
      <c r="AO17" s="338">
        <f t="shared" ref="AO17" si="32">AO14-AO16</f>
        <v>461398.31925488263</v>
      </c>
      <c r="AP17" s="338">
        <f t="shared" ref="AP17" si="33">AP14-AP16</f>
        <v>321212.00106715551</v>
      </c>
      <c r="AQ17" s="346">
        <f>SUM(AM17:AP17)</f>
        <v>1453052.6920234831</v>
      </c>
      <c r="AR17"/>
      <c r="AS17" s="337">
        <f t="shared" ref="AS17" si="34">AS14-AS16</f>
        <v>371660.97611543117</v>
      </c>
      <c r="AT17" s="338">
        <f t="shared" ref="AT17" si="35">AT14-AT16</f>
        <v>449455.26612556993</v>
      </c>
      <c r="AU17" s="338">
        <f t="shared" ref="AU17" si="36">AU14-AU16</f>
        <v>581931.59681946901</v>
      </c>
      <c r="AV17" s="338">
        <f t="shared" ref="AV17" si="37">AV14-AV16</f>
        <v>361787.15566537098</v>
      </c>
      <c r="AW17" s="346">
        <f>SUM(AS17:AV17)</f>
        <v>1764834.9947258411</v>
      </c>
      <c r="AX17"/>
      <c r="AY17" s="337">
        <f t="shared" ref="AY17" si="38">AY14-AY16</f>
        <v>395028.95844850433</v>
      </c>
      <c r="AZ17" s="338">
        <f t="shared" ref="AZ17" si="39">AZ14-AZ16</f>
        <v>617505.29178573412</v>
      </c>
      <c r="BA17" s="338">
        <f t="shared" ref="BA17" si="40">BA14-BA16</f>
        <v>776259.65949161386</v>
      </c>
      <c r="BB17" s="338">
        <f t="shared" ref="BB17" si="41">BB14-BB16</f>
        <v>503755.25777690345</v>
      </c>
      <c r="BC17" s="346">
        <f>SUM(AY17:BB17)</f>
        <v>2292549.1675027558</v>
      </c>
      <c r="BD17"/>
      <c r="BE17" s="337">
        <f t="shared" ref="BE17" si="42">BE14-BE16</f>
        <v>420246.10505711986</v>
      </c>
      <c r="BF17" s="338">
        <f t="shared" ref="BF17" si="43">BF14-BF16</f>
        <v>708253.99192023638</v>
      </c>
      <c r="BG17" s="338">
        <f t="shared" ref="BG17" si="44">BG14-BG16</f>
        <v>836622.09132618899</v>
      </c>
      <c r="BH17" s="338">
        <f t="shared" ref="BH17" si="45">BH14-BH16</f>
        <v>528482.29807643115</v>
      </c>
      <c r="BI17" s="346">
        <f>SUM(BE17:BH17)</f>
        <v>2493604.4863799764</v>
      </c>
    </row>
    <row r="18" spans="1:61">
      <c r="A18" s="214"/>
      <c r="C18" s="242"/>
      <c r="D18" s="243"/>
      <c r="E18" s="243"/>
      <c r="F18" s="243"/>
      <c r="G18" s="244"/>
      <c r="I18" s="242"/>
      <c r="J18" s="243"/>
      <c r="K18" s="243"/>
      <c r="L18" s="243"/>
      <c r="M18" s="244"/>
      <c r="O18" s="242"/>
      <c r="P18" s="243"/>
      <c r="Q18" s="243"/>
      <c r="R18" s="243"/>
      <c r="S18" s="244"/>
      <c r="U18" s="242"/>
      <c r="V18" s="243"/>
      <c r="W18" s="243"/>
      <c r="X18" s="243"/>
      <c r="Y18" s="250"/>
      <c r="AA18" s="242"/>
      <c r="AB18" s="243"/>
      <c r="AC18" s="243"/>
      <c r="AD18" s="243"/>
      <c r="AE18" s="244"/>
      <c r="AG18" s="242"/>
      <c r="AH18" s="220"/>
      <c r="AI18" s="302"/>
      <c r="AK18" s="75"/>
      <c r="AM18" s="74"/>
      <c r="AQ18" s="75"/>
      <c r="AS18" s="74"/>
      <c r="AW18" s="75"/>
      <c r="AY18" s="74"/>
      <c r="BC18" s="75"/>
      <c r="BE18" s="74"/>
      <c r="BI18" s="75"/>
    </row>
    <row r="19" spans="1:61">
      <c r="A19" s="211" t="s">
        <v>110</v>
      </c>
      <c r="C19" s="242"/>
      <c r="D19" s="243"/>
      <c r="E19" s="243"/>
      <c r="F19" s="243"/>
      <c r="G19" s="244"/>
      <c r="I19" s="242"/>
      <c r="J19" s="243"/>
      <c r="K19" s="243"/>
      <c r="L19" s="243"/>
      <c r="M19" s="244"/>
      <c r="O19" s="242"/>
      <c r="P19" s="243"/>
      <c r="Q19" s="243"/>
      <c r="R19" s="243"/>
      <c r="S19" s="250"/>
      <c r="U19" s="242"/>
      <c r="V19" s="243"/>
      <c r="W19" s="243"/>
      <c r="X19" s="249"/>
      <c r="Y19" s="269"/>
      <c r="AA19" s="242"/>
      <c r="AB19" s="243"/>
      <c r="AC19" s="243"/>
      <c r="AD19" s="678"/>
      <c r="AE19" s="250"/>
      <c r="AG19" s="242"/>
      <c r="AH19" s="220"/>
      <c r="AI19" s="302"/>
      <c r="AK19" s="75"/>
      <c r="AM19" s="74"/>
      <c r="AQ19" s="75"/>
      <c r="AS19" s="74"/>
      <c r="AW19" s="75"/>
      <c r="AY19" s="74"/>
      <c r="BC19" s="75"/>
      <c r="BE19" s="74"/>
      <c r="BI19" s="75"/>
    </row>
    <row r="20" spans="1:61" hidden="1">
      <c r="A20" s="214" t="s">
        <v>7</v>
      </c>
      <c r="C20" s="248">
        <v>0.2</v>
      </c>
      <c r="D20" s="249">
        <v>0.49</v>
      </c>
      <c r="E20" s="249">
        <v>0.64</v>
      </c>
      <c r="F20" s="249">
        <v>0.45999999999999996</v>
      </c>
      <c r="G20" s="250">
        <v>1.79</v>
      </c>
      <c r="I20" s="248">
        <v>0.31</v>
      </c>
      <c r="J20" s="249">
        <v>0.57999999999999996</v>
      </c>
      <c r="K20" s="249">
        <v>0.68</v>
      </c>
      <c r="L20" s="249">
        <v>0.35000000000000009</v>
      </c>
      <c r="M20" s="250">
        <v>1.92</v>
      </c>
      <c r="O20" s="248">
        <v>0.08</v>
      </c>
      <c r="P20" s="249">
        <v>0.68</v>
      </c>
      <c r="Q20" s="249">
        <v>0.74</v>
      </c>
      <c r="R20" s="297">
        <v>1.19</v>
      </c>
      <c r="S20" s="250">
        <v>2.69</v>
      </c>
      <c r="U20" s="248">
        <v>0.84</v>
      </c>
      <c r="V20" s="249">
        <v>2.4</v>
      </c>
      <c r="W20" s="249">
        <v>3</v>
      </c>
      <c r="X20" s="249">
        <v>2.3100000000000005</v>
      </c>
      <c r="Y20" s="250">
        <v>8.5500000000000007</v>
      </c>
      <c r="AA20" s="248">
        <v>3.61</v>
      </c>
      <c r="AB20" s="249">
        <v>5.79</v>
      </c>
      <c r="AC20" s="249">
        <v>4.75</v>
      </c>
      <c r="AD20" s="249">
        <v>2.83</v>
      </c>
      <c r="AE20" s="250">
        <v>16.98</v>
      </c>
      <c r="AG20" s="248">
        <v>2.44</v>
      </c>
      <c r="AH20" s="222">
        <v>3.19</v>
      </c>
      <c r="AI20" s="302" t="s">
        <v>100</v>
      </c>
      <c r="AK20" s="75"/>
      <c r="AM20" s="74"/>
      <c r="AQ20" s="75"/>
      <c r="AS20" s="74"/>
      <c r="AW20" s="75"/>
      <c r="AY20" s="74"/>
      <c r="BC20" s="75"/>
      <c r="BE20" s="74"/>
      <c r="BI20" s="75"/>
    </row>
    <row r="21" spans="1:61">
      <c r="A21" s="214" t="s">
        <v>8</v>
      </c>
      <c r="C21" s="248">
        <f t="shared" ref="C21:AI21" si="46">C17/C23</f>
        <v>0.1989785425378762</v>
      </c>
      <c r="D21" s="249">
        <f t="shared" si="46"/>
        <v>0.48522190705526469</v>
      </c>
      <c r="E21" s="249">
        <f t="shared" si="46"/>
        <v>0.62966270522772549</v>
      </c>
      <c r="F21" s="249">
        <f t="shared" si="46"/>
        <v>0.44632530844072277</v>
      </c>
      <c r="G21" s="250">
        <f>SUM(C21:F21)</f>
        <v>1.7601884632615892</v>
      </c>
      <c r="I21" s="248">
        <f t="shared" si="46"/>
        <v>0.30642489981206716</v>
      </c>
      <c r="J21" s="249">
        <f t="shared" si="46"/>
        <v>0.56965933680582281</v>
      </c>
      <c r="K21" s="249">
        <f t="shared" si="46"/>
        <v>0.66689997780698906</v>
      </c>
      <c r="L21" s="249">
        <f t="shared" si="46"/>
        <v>0.35348857081820123</v>
      </c>
      <c r="M21" s="250">
        <f>SUM(I21:L21)</f>
        <v>1.8964727852430803</v>
      </c>
      <c r="O21" s="248">
        <f>O17/O23</f>
        <v>7.4616576165591433E-2</v>
      </c>
      <c r="P21" s="249">
        <f>P17/P23</f>
        <v>0.67142504700247563</v>
      </c>
      <c r="Q21" s="249">
        <f>Q17/Q23</f>
        <v>0.7280768644197041</v>
      </c>
      <c r="R21" s="249">
        <f>R17/R23</f>
        <v>1.186546469126589</v>
      </c>
      <c r="S21" s="250">
        <f>SUM(O21:R21)</f>
        <v>2.6606649567143603</v>
      </c>
      <c r="U21" s="248">
        <f>U17/U23</f>
        <v>0.82722984891479412</v>
      </c>
      <c r="V21" s="249">
        <f>V17/V23</f>
        <v>2.3869036761105615</v>
      </c>
      <c r="W21" s="249">
        <f>W17/W23</f>
        <v>2.9817876768953946</v>
      </c>
      <c r="X21" s="249">
        <f>X17/X23</f>
        <v>2.2798402998880265</v>
      </c>
      <c r="Y21" s="250">
        <f>SUM(U21:X21)</f>
        <v>8.4757615018087762</v>
      </c>
      <c r="AA21" s="248">
        <f t="shared" si="46"/>
        <v>3.5625410758245799</v>
      </c>
      <c r="AB21" s="249">
        <f t="shared" si="46"/>
        <v>5.754676506420906</v>
      </c>
      <c r="AC21" s="249">
        <f t="shared" si="46"/>
        <v>4.7159106158102917</v>
      </c>
      <c r="AD21" s="249">
        <f t="shared" si="46"/>
        <v>2.7895717869859973</v>
      </c>
      <c r="AE21" s="250">
        <f t="shared" si="46"/>
        <v>16.817666884836768</v>
      </c>
      <c r="AG21" s="248">
        <f t="shared" si="46"/>
        <v>2.4115394618963673</v>
      </c>
      <c r="AH21" s="222">
        <f t="shared" si="46"/>
        <v>3.159456842565552</v>
      </c>
      <c r="AI21" s="249">
        <f t="shared" si="46"/>
        <v>3.8828320986733531</v>
      </c>
      <c r="AJ21" s="249">
        <f>AJ17/AJ23</f>
        <v>2.894804416798229</v>
      </c>
      <c r="AK21" s="250">
        <f>SUM(AG21:AJ21)</f>
        <v>12.348632819933501</v>
      </c>
      <c r="AM21" s="248">
        <f t="shared" ref="AM21:BH21" si="47">AM17/AM23</f>
        <v>2.3429404180796194</v>
      </c>
      <c r="AN21" s="249">
        <f t="shared" si="47"/>
        <v>2.9531365118432005</v>
      </c>
      <c r="AO21" s="249">
        <f t="shared" si="47"/>
        <v>3.6590488259621003</v>
      </c>
      <c r="AP21" s="249">
        <f t="shared" si="47"/>
        <v>2.5535828956573843</v>
      </c>
      <c r="AQ21" s="250">
        <f>SUM(AM21:AP21)</f>
        <v>11.508708651542303</v>
      </c>
      <c r="AS21" s="248">
        <f t="shared" si="47"/>
        <v>2.9546439997217666</v>
      </c>
      <c r="AT21" s="249">
        <f t="shared" si="47"/>
        <v>3.5730958872281988</v>
      </c>
      <c r="AU21" s="249">
        <f t="shared" si="47"/>
        <v>4.6262610585652002</v>
      </c>
      <c r="AV21" s="249">
        <f t="shared" si="47"/>
        <v>2.8761487413494171</v>
      </c>
      <c r="AW21" s="250">
        <f>SUM(AS21:AV21)</f>
        <v>14.030149686864583</v>
      </c>
      <c r="AY21" s="248">
        <f t="shared" si="47"/>
        <v>3.1404156389927538</v>
      </c>
      <c r="AZ21" s="249">
        <f t="shared" si="47"/>
        <v>4.9090661178387984</v>
      </c>
      <c r="BA21" s="249">
        <f t="shared" si="47"/>
        <v>6.1711373873985007</v>
      </c>
      <c r="BB21" s="249">
        <f t="shared" si="47"/>
        <v>4.0047719437096454</v>
      </c>
      <c r="BC21" s="250">
        <f>SUM(AY21:BB21)</f>
        <v>18.225391087939698</v>
      </c>
      <c r="BE21" s="248">
        <f t="shared" si="47"/>
        <v>3.3408878319466599</v>
      </c>
      <c r="BF21" s="249">
        <f t="shared" si="47"/>
        <v>5.6305034480030516</v>
      </c>
      <c r="BG21" s="249">
        <f t="shared" si="47"/>
        <v>6.6510088522284523</v>
      </c>
      <c r="BH21" s="249">
        <f t="shared" si="47"/>
        <v>4.2013478716305448</v>
      </c>
      <c r="BI21" s="250">
        <f>SUM(BE21:BH21)</f>
        <v>19.82374800380871</v>
      </c>
    </row>
    <row r="22" spans="1:61" hidden="1">
      <c r="A22" s="214" t="s">
        <v>7</v>
      </c>
      <c r="C22" s="242">
        <v>114090</v>
      </c>
      <c r="D22" s="243">
        <v>114636</v>
      </c>
      <c r="E22" s="243">
        <v>114707</v>
      </c>
      <c r="F22" s="243">
        <v>114586</v>
      </c>
      <c r="G22" s="244">
        <v>114586</v>
      </c>
      <c r="I22" s="242">
        <v>115425</v>
      </c>
      <c r="J22" s="243">
        <v>115757</v>
      </c>
      <c r="K22" s="243">
        <v>115732</v>
      </c>
      <c r="L22" s="243">
        <v>115713</v>
      </c>
      <c r="M22" s="244">
        <v>115713</v>
      </c>
      <c r="O22" s="242">
        <v>116258</v>
      </c>
      <c r="P22" s="243">
        <v>116634</v>
      </c>
      <c r="Q22" s="243">
        <v>116731</v>
      </c>
      <c r="R22" s="268">
        <v>116611</v>
      </c>
      <c r="S22" s="244">
        <v>116611</v>
      </c>
      <c r="U22" s="242">
        <v>206571</v>
      </c>
      <c r="V22" s="243">
        <v>207114</v>
      </c>
      <c r="W22" s="243">
        <v>204268</v>
      </c>
      <c r="X22" s="243">
        <v>201839</v>
      </c>
      <c r="Y22" s="244">
        <v>201839</v>
      </c>
      <c r="AA22" s="242">
        <v>177120</v>
      </c>
      <c r="AB22" s="243">
        <v>170378</v>
      </c>
      <c r="AC22" s="243">
        <v>155309</v>
      </c>
      <c r="AD22" s="243">
        <v>161960</v>
      </c>
      <c r="AE22" s="244">
        <v>161960</v>
      </c>
      <c r="AG22" s="242">
        <v>137074</v>
      </c>
      <c r="AH22" s="220">
        <v>126977</v>
      </c>
      <c r="AK22" s="75"/>
      <c r="AM22" s="74"/>
      <c r="AQ22" s="75"/>
      <c r="AS22" s="74"/>
      <c r="AW22" s="75"/>
      <c r="AY22" s="74"/>
      <c r="BC22" s="75"/>
      <c r="BE22" s="74"/>
      <c r="BI22" s="75"/>
    </row>
    <row r="23" spans="1:61" ht="17.25" thickBot="1">
      <c r="A23" s="216" t="s">
        <v>8</v>
      </c>
      <c r="C23" s="251">
        <v>116696</v>
      </c>
      <c r="D23" s="252">
        <v>116693</v>
      </c>
      <c r="E23" s="252">
        <v>116456</v>
      </c>
      <c r="F23" s="252">
        <v>116554</v>
      </c>
      <c r="G23" s="253">
        <v>116554</v>
      </c>
      <c r="I23" s="251">
        <v>116531</v>
      </c>
      <c r="J23" s="252">
        <v>116919</v>
      </c>
      <c r="K23" s="252">
        <v>117154</v>
      </c>
      <c r="L23" s="252">
        <v>117025</v>
      </c>
      <c r="M23" s="253">
        <v>117025</v>
      </c>
      <c r="O23" s="251">
        <v>117494</v>
      </c>
      <c r="P23" s="252">
        <v>117547</v>
      </c>
      <c r="Q23" s="252">
        <v>118026</v>
      </c>
      <c r="R23" s="271">
        <v>117917</v>
      </c>
      <c r="S23" s="253">
        <v>117917</v>
      </c>
      <c r="U23" s="251">
        <v>208624</v>
      </c>
      <c r="V23" s="252">
        <v>208318</v>
      </c>
      <c r="W23" s="252">
        <v>205630</v>
      </c>
      <c r="X23" s="252">
        <v>194073.24277131652</v>
      </c>
      <c r="Y23" s="253">
        <v>203470</v>
      </c>
      <c r="AA23" s="251">
        <v>179546</v>
      </c>
      <c r="AB23" s="252">
        <v>171549</v>
      </c>
      <c r="AC23" s="252">
        <v>156493</v>
      </c>
      <c r="AD23" s="252">
        <v>137839.43535486085</v>
      </c>
      <c r="AE23" s="253">
        <v>163481</v>
      </c>
      <c r="AG23" s="251">
        <v>138412</v>
      </c>
      <c r="AH23" s="304">
        <v>128066</v>
      </c>
      <c r="AI23" s="252">
        <f>'Share Repurchase'!K9</f>
        <v>127608.298772291</v>
      </c>
      <c r="AJ23" s="252">
        <f>'Share Repurchase'!L9</f>
        <v>127185.14781984891</v>
      </c>
      <c r="AK23" s="253">
        <f>AJ23</f>
        <v>127185.14781984891</v>
      </c>
      <c r="AM23" s="251">
        <f>'Share Repurchase'!N9</f>
        <v>126793.93906244854</v>
      </c>
      <c r="AN23" s="252">
        <f>'Share Repurchase'!O9</f>
        <v>126432.26129477844</v>
      </c>
      <c r="AO23" s="252">
        <f>'Share Repurchase'!P9</f>
        <v>126097.88532503767</v>
      </c>
      <c r="AP23" s="252">
        <f>'Share Repurchase'!Q9</f>
        <v>125788.7502353684</v>
      </c>
      <c r="AQ23" s="253">
        <f>AP23</f>
        <v>125788.7502353684</v>
      </c>
      <c r="AS23" s="251">
        <f>'Share Repurchase'!S9</f>
        <v>125788.7502353684</v>
      </c>
      <c r="AT23" s="252">
        <f>'Share Repurchase'!T9</f>
        <v>125788.7502353684</v>
      </c>
      <c r="AU23" s="252">
        <f>'Share Repurchase'!U9</f>
        <v>125788.7502353684</v>
      </c>
      <c r="AV23" s="252">
        <f>'Share Repurchase'!V9</f>
        <v>125788.7502353684</v>
      </c>
      <c r="AW23" s="253">
        <f>AV23</f>
        <v>125788.7502353684</v>
      </c>
      <c r="AY23" s="251">
        <f>'Share Repurchase'!X9</f>
        <v>125788.7502353684</v>
      </c>
      <c r="AZ23" s="252">
        <f>'Share Repurchase'!Y9</f>
        <v>125788.7502353684</v>
      </c>
      <c r="BA23" s="252">
        <f>'Share Repurchase'!Z9</f>
        <v>125788.7502353684</v>
      </c>
      <c r="BB23" s="252">
        <f>'Share Repurchase'!AA9</f>
        <v>125788.7502353684</v>
      </c>
      <c r="BC23" s="253">
        <f>BB23</f>
        <v>125788.7502353684</v>
      </c>
      <c r="BE23" s="251">
        <f>'Share Repurchase'!AC9</f>
        <v>125788.7502353684</v>
      </c>
      <c r="BF23" s="252">
        <f>'Share Repurchase'!AD9</f>
        <v>125788.7502353684</v>
      </c>
      <c r="BG23" s="252">
        <f>'Share Repurchase'!AE9</f>
        <v>125788.7502353684</v>
      </c>
      <c r="BH23" s="252">
        <f>'Share Repurchase'!AF9</f>
        <v>125788.7502353684</v>
      </c>
      <c r="BI23" s="253">
        <f>BH23</f>
        <v>125788.7502353684</v>
      </c>
    </row>
    <row r="24" spans="1:61" ht="17.25" thickBot="1">
      <c r="A24" s="204"/>
      <c r="F24" s="206"/>
      <c r="L24" s="206"/>
      <c r="R24" s="207"/>
      <c r="X24" s="206"/>
      <c r="AB24" s="205" t="s">
        <v>85</v>
      </c>
      <c r="AC24" s="205" t="s">
        <v>85</v>
      </c>
      <c r="AD24" s="206"/>
      <c r="AE24" s="205" t="s">
        <v>85</v>
      </c>
      <c r="AG24" s="205" t="s">
        <v>85</v>
      </c>
      <c r="AH24" s="205" t="s">
        <v>85</v>
      </c>
      <c r="AI24" s="208"/>
    </row>
    <row r="25" spans="1:61" ht="17.25" thickBot="1">
      <c r="A25" s="217" t="s">
        <v>112</v>
      </c>
      <c r="C25" s="263"/>
      <c r="D25" s="198"/>
      <c r="E25" s="198"/>
      <c r="F25" s="198"/>
      <c r="G25" s="199"/>
      <c r="I25" s="263"/>
      <c r="J25" s="198"/>
      <c r="K25" s="198"/>
      <c r="L25" s="198"/>
      <c r="M25" s="199"/>
      <c r="O25" s="263"/>
      <c r="P25" s="198"/>
      <c r="Q25" s="198"/>
      <c r="R25" s="198"/>
      <c r="S25" s="199"/>
      <c r="U25" s="263"/>
      <c r="V25" s="198"/>
      <c r="W25" s="198"/>
      <c r="X25" s="198"/>
      <c r="Y25" s="199"/>
      <c r="AA25" s="263"/>
      <c r="AB25" s="298" t="s">
        <v>85</v>
      </c>
      <c r="AC25" s="298" t="s">
        <v>85</v>
      </c>
      <c r="AD25" s="298"/>
      <c r="AE25" s="299" t="s">
        <v>85</v>
      </c>
      <c r="AG25" s="305" t="s">
        <v>85</v>
      </c>
      <c r="AH25" s="298" t="s">
        <v>85</v>
      </c>
      <c r="AI25" s="298" t="s">
        <v>85</v>
      </c>
      <c r="AJ25" s="298" t="s">
        <v>85</v>
      </c>
      <c r="AK25" s="299" t="s">
        <v>85</v>
      </c>
      <c r="AM25" s="305" t="s">
        <v>85</v>
      </c>
      <c r="AN25" s="298" t="s">
        <v>85</v>
      </c>
      <c r="AO25" s="298" t="s">
        <v>85</v>
      </c>
      <c r="AP25" s="298" t="s">
        <v>85</v>
      </c>
      <c r="AQ25" s="299" t="s">
        <v>85</v>
      </c>
      <c r="AS25" s="305" t="s">
        <v>85</v>
      </c>
      <c r="AT25" s="298" t="s">
        <v>85</v>
      </c>
      <c r="AU25" s="298" t="s">
        <v>85</v>
      </c>
      <c r="AV25" s="298" t="s">
        <v>85</v>
      </c>
      <c r="AW25" s="299" t="s">
        <v>85</v>
      </c>
      <c r="AX25" s="571"/>
      <c r="AY25" s="305" t="s">
        <v>85</v>
      </c>
      <c r="AZ25" s="298" t="s">
        <v>85</v>
      </c>
      <c r="BA25" s="298" t="s">
        <v>85</v>
      </c>
      <c r="BB25" s="298" t="s">
        <v>85</v>
      </c>
      <c r="BC25" s="299" t="s">
        <v>85</v>
      </c>
      <c r="BE25" s="305" t="s">
        <v>85</v>
      </c>
      <c r="BF25" s="298" t="s">
        <v>85</v>
      </c>
      <c r="BG25" s="298" t="s">
        <v>85</v>
      </c>
      <c r="BH25" s="298" t="s">
        <v>85</v>
      </c>
      <c r="BI25" s="299" t="s">
        <v>85</v>
      </c>
    </row>
    <row r="26" spans="1:61">
      <c r="A26" s="230" t="s">
        <v>113</v>
      </c>
      <c r="C26" s="254">
        <v>0</v>
      </c>
      <c r="D26" s="255">
        <v>0</v>
      </c>
      <c r="E26" s="255">
        <v>0</v>
      </c>
      <c r="F26" s="255">
        <v>0</v>
      </c>
      <c r="G26" s="256">
        <v>0</v>
      </c>
      <c r="I26" s="354">
        <f>I4/C4-1</f>
        <v>-4.065780776224448E-2</v>
      </c>
      <c r="J26" s="355">
        <f>J4/D4-1</f>
        <v>-8.8696140654427436E-2</v>
      </c>
      <c r="K26" s="355">
        <f>K4/E4-1</f>
        <v>-6.4873325853081476E-2</v>
      </c>
      <c r="L26" s="355">
        <f>L4/F4-1</f>
        <v>-2.885879800438329E-2</v>
      </c>
      <c r="M26" s="356">
        <f>M4/G4-1</f>
        <v>-5.7521446266821319E-2</v>
      </c>
      <c r="O26" s="354">
        <f>O4/I4-1</f>
        <v>9.5458223502727924E-2</v>
      </c>
      <c r="P26" s="355">
        <f>P4/J4-1</f>
        <v>2.1590708014552762E-2</v>
      </c>
      <c r="Q26" s="355">
        <f>Q4/K4-1</f>
        <v>0.15871249119778308</v>
      </c>
      <c r="R26" s="355">
        <f>R4/L4-1</f>
        <v>0.43501856741966449</v>
      </c>
      <c r="S26" s="356">
        <f>S4/M4-1</f>
        <v>0.17559990610445997</v>
      </c>
      <c r="U26" s="354">
        <f>U4/O4-1</f>
        <v>1.3356048977600152</v>
      </c>
      <c r="V26" s="355">
        <f>V4/P4-1</f>
        <v>1.8662411346788699</v>
      </c>
      <c r="W26" s="355">
        <f>W4/Q4-1</f>
        <v>1.3997865342307607</v>
      </c>
      <c r="X26" s="355">
        <f>X4/R4-1</f>
        <v>0.83139017528331416</v>
      </c>
      <c r="Y26" s="356">
        <f>Y4/S4-1</f>
        <v>1.3243543484808864</v>
      </c>
      <c r="AA26" s="354">
        <f>AA4/U4-1</f>
        <v>0.3611493192613402</v>
      </c>
      <c r="AB26" s="355">
        <f>AB4/V4-1</f>
        <v>0.2420035784719301</v>
      </c>
      <c r="AC26" s="355">
        <f>AC4/W4-1</f>
        <v>4.5905213493834252E-2</v>
      </c>
      <c r="AD26" s="355">
        <f>AD4/X4-1</f>
        <v>-5.981778321393616E-2</v>
      </c>
      <c r="AE26" s="356">
        <f>AE4/Y4-1</f>
        <v>0.14238375908622247</v>
      </c>
      <c r="AG26" s="354">
        <f>AG4/AA4-1</f>
        <v>-0.31645406522046404</v>
      </c>
      <c r="AH26" s="357">
        <f>AH4/AB4-1</f>
        <v>-0.34612754157763959</v>
      </c>
      <c r="AI26" s="757">
        <v>-0.15</v>
      </c>
      <c r="AJ26" s="758">
        <v>-0.08</v>
      </c>
      <c r="AK26" s="356">
        <f>AK4/AE4-1</f>
        <v>-0.23796141785300251</v>
      </c>
      <c r="AM26" s="759">
        <v>0.05</v>
      </c>
      <c r="AN26" s="758">
        <v>0.08</v>
      </c>
      <c r="AO26" s="758">
        <v>0.2</v>
      </c>
      <c r="AP26" s="758">
        <v>7.0000000000000007E-2</v>
      </c>
      <c r="AQ26" s="356">
        <f>AQ4/AK4-1</f>
        <v>0.10489144638349202</v>
      </c>
      <c r="AR26" s="571"/>
      <c r="AS26" s="758">
        <v>0.05</v>
      </c>
      <c r="AT26" s="758">
        <v>0.12</v>
      </c>
      <c r="AU26" s="758">
        <v>0.15</v>
      </c>
      <c r="AV26" s="758">
        <v>0.15</v>
      </c>
      <c r="AW26" s="356">
        <f>AW4/AQ4-1</f>
        <v>0.12102246350296619</v>
      </c>
      <c r="AX26" s="571"/>
      <c r="AY26" s="358">
        <f>AVERAGE(AS26,AM26,AG26,AA26)</f>
        <v>3.617381351021904E-2</v>
      </c>
      <c r="AZ26" s="358">
        <f>AVERAGE(AT26,AN26,AB26,P26,J26)</f>
        <v>7.4979629166411085E-2</v>
      </c>
      <c r="BA26" s="358">
        <f>AVERAGE(AU26,AO26,AI26,Q26,AC26,)</f>
        <v>6.7436284115269543E-2</v>
      </c>
      <c r="BB26" s="358">
        <f>AVERAGE(AV26,AP26,AJ26,AD26,R26)</f>
        <v>0.10304015684114567</v>
      </c>
      <c r="BC26" s="356">
        <f>BC4/AW4-1</f>
        <v>7.1310869288923273E-2</v>
      </c>
      <c r="BD26" s="571"/>
      <c r="BE26" s="358">
        <f>AVERAGE(AY26,AS26,AM26,AG26,AA26)</f>
        <v>3.6173813510219047E-2</v>
      </c>
      <c r="BF26" s="358">
        <f>AVERAGE(AZ26,AT26,AN26,AB26)</f>
        <v>0.12924580190958529</v>
      </c>
      <c r="BG26" s="358">
        <f>AVERAGE(BA26,AU26,AO26,AC26,AI26,Q26)</f>
        <v>7.8675664801147807E-2</v>
      </c>
      <c r="BH26" s="358">
        <f>AVERAGE(BB26,AV26,AP26,AD26,AJ26,R26,L26)</f>
        <v>8.4197449006070096E-2</v>
      </c>
      <c r="BI26" s="356">
        <f>BI4/BC4-1</f>
        <v>8.4737363082848516E-2</v>
      </c>
    </row>
    <row r="27" spans="1:61">
      <c r="A27" s="180" t="s">
        <v>115</v>
      </c>
      <c r="C27" s="257">
        <f>C5/C4</f>
        <v>0.75826670336313751</v>
      </c>
      <c r="D27" s="258">
        <f t="shared" ref="D27:AH27" si="48">D5/D4</f>
        <v>0.76250976128864323</v>
      </c>
      <c r="E27" s="258">
        <f t="shared" si="48"/>
        <v>0.75322674367832965</v>
      </c>
      <c r="F27" s="258">
        <f t="shared" si="48"/>
        <v>0.72864293659621804</v>
      </c>
      <c r="G27" s="259">
        <f t="shared" si="48"/>
        <v>0.75106834882224993</v>
      </c>
      <c r="I27" s="257">
        <f t="shared" si="48"/>
        <v>0.72906577576166243</v>
      </c>
      <c r="J27" s="258">
        <f t="shared" si="48"/>
        <v>0.72845904197533973</v>
      </c>
      <c r="K27" s="258">
        <f t="shared" si="48"/>
        <v>0.72683874843200647</v>
      </c>
      <c r="L27" s="258">
        <f t="shared" si="48"/>
        <v>0.72977812656465024</v>
      </c>
      <c r="M27" s="259">
        <f t="shared" si="48"/>
        <v>0.72847363020128886</v>
      </c>
      <c r="O27" s="257">
        <f t="shared" si="48"/>
        <v>0.73955930008656867</v>
      </c>
      <c r="P27" s="258">
        <f t="shared" si="48"/>
        <v>0.73410743903172371</v>
      </c>
      <c r="Q27" s="258">
        <f t="shared" si="48"/>
        <v>0.75139907207737044</v>
      </c>
      <c r="R27" s="258">
        <f t="shared" si="48"/>
        <v>0.73557824527019555</v>
      </c>
      <c r="S27" s="259">
        <f t="shared" si="48"/>
        <v>0.74031817736772387</v>
      </c>
      <c r="U27" s="257">
        <f t="shared" si="48"/>
        <v>0.74374421237369048</v>
      </c>
      <c r="V27" s="258">
        <f t="shared" si="48"/>
        <v>0.71611237649914417</v>
      </c>
      <c r="W27" s="258">
        <f t="shared" si="48"/>
        <v>0.68913061237086082</v>
      </c>
      <c r="X27" s="258">
        <f t="shared" si="48"/>
        <v>0.67942605617620921</v>
      </c>
      <c r="Y27" s="259">
        <f t="shared" si="48"/>
        <v>0.70589130634101305</v>
      </c>
      <c r="AA27" s="257">
        <f t="shared" si="48"/>
        <v>0.67746334312657108</v>
      </c>
      <c r="AB27" s="258">
        <f t="shared" si="48"/>
        <v>0.65173883910491937</v>
      </c>
      <c r="AC27" s="258">
        <f t="shared" si="48"/>
        <v>0.65030895798515065</v>
      </c>
      <c r="AD27" s="258">
        <f t="shared" si="48"/>
        <v>0.65918420035042502</v>
      </c>
      <c r="AE27" s="259">
        <f t="shared" si="48"/>
        <v>0.65923450849139531</v>
      </c>
      <c r="AG27" s="257">
        <f t="shared" si="48"/>
        <v>0.64684802722622992</v>
      </c>
      <c r="AH27" s="223">
        <f t="shared" si="48"/>
        <v>0.64782849660733643</v>
      </c>
      <c r="AI27" s="306">
        <f>AVERAGE(AG27:AH27)</f>
        <v>0.64733826191678312</v>
      </c>
      <c r="AJ27" s="306">
        <f>AVERAGE(AG27:AI27)</f>
        <v>0.64733826191678312</v>
      </c>
      <c r="AK27" s="307">
        <f>AVERAGE(AE27,Y27)</f>
        <v>0.68256290741620418</v>
      </c>
      <c r="AL27" s="571"/>
      <c r="AM27" s="306">
        <f>AVERAGE(AG27:AJ27,AA27:AD27,U27:X27)</f>
        <v>0.67137180380450856</v>
      </c>
      <c r="AN27" s="306">
        <f>AVERAGE(AG27:AJ27,AA27:AD27,U27:X27,AM27)</f>
        <v>0.67137180380450856</v>
      </c>
      <c r="AO27" s="306">
        <f>AVERAGE(AG27:AJ27,AA27:AD27,U27:X27,AM27:AN27)</f>
        <v>0.67137180380450856</v>
      </c>
      <c r="AP27" s="306">
        <f>AVERAGE(AG27:AJ27,AA27:AD27,U27:X27,AM27:AO27)</f>
        <v>0.67137180380450845</v>
      </c>
      <c r="AQ27" s="307">
        <f>AVERAGE(AK27,AE27)</f>
        <v>0.6708987079537998</v>
      </c>
      <c r="AR27" s="571"/>
      <c r="AS27" s="306">
        <f>AVERAGE(AM27,AG27,AA27)</f>
        <v>0.66522772471910319</v>
      </c>
      <c r="AT27" s="306">
        <f t="shared" ref="AT27" si="49">AVERAGE(AN27,AH27,AB27,V27,P27,J27)</f>
        <v>0.69160299950382864</v>
      </c>
      <c r="AU27" s="306">
        <f t="shared" ref="AU27" si="50">AVERAGE(AO27,AI27,AC27,W27,Q27,K27)</f>
        <v>0.68939790943111345</v>
      </c>
      <c r="AV27" s="306">
        <f t="shared" ref="AV27" si="51">AVERAGE(AP27,AJ27,AD27,X27,R27,L27)</f>
        <v>0.68711278234712869</v>
      </c>
      <c r="AW27" s="307">
        <f>AVERAGE(AQ27,AK27)</f>
        <v>0.67673080768500204</v>
      </c>
      <c r="AX27" s="571"/>
      <c r="AY27" s="306">
        <f>AVERAGE(AS27,AM27,AG27,AA27)</f>
        <v>0.66522772471910319</v>
      </c>
      <c r="AZ27" s="306">
        <f>AVERAGE(AT27,AN27,AH27,AB27)</f>
        <v>0.66563553475514825</v>
      </c>
      <c r="BA27" s="306">
        <f>AVERAGE(AU27,AO27,AI27,AC27)</f>
        <v>0.66460423328438889</v>
      </c>
      <c r="BB27" s="306">
        <f>AVERAGE(AV27,AP27,AJ27,AD27)</f>
        <v>0.66625176210471126</v>
      </c>
      <c r="BC27" s="307">
        <f>AVERAGE(AW27,AQ27)</f>
        <v>0.67381475781940092</v>
      </c>
      <c r="BD27" s="571"/>
      <c r="BE27" s="306">
        <f>AVERAGE(AY27,AS27,AM27,AG27,AA27)</f>
        <v>0.66522772471910319</v>
      </c>
      <c r="BF27" s="306">
        <f t="shared" ref="BF27:BH27" si="52">AVERAGE(AZ27,AT27,AN27,AH27,AB27)</f>
        <v>0.66563553475514814</v>
      </c>
      <c r="BG27" s="306">
        <f t="shared" si="52"/>
        <v>0.66460423328438889</v>
      </c>
      <c r="BH27" s="306">
        <f t="shared" si="52"/>
        <v>0.66625176210471138</v>
      </c>
      <c r="BI27" s="307">
        <f>AVERAGE(BC27,AW27)</f>
        <v>0.67527278275220148</v>
      </c>
    </row>
    <row r="28" spans="1:61">
      <c r="A28" s="180" t="s">
        <v>114</v>
      </c>
      <c r="C28" s="257">
        <f>C8/C4</f>
        <v>0.21106822015059667</v>
      </c>
      <c r="D28" s="258">
        <f t="shared" ref="D28:AH28" si="53">D8/D4</f>
        <v>0.18745932796398659</v>
      </c>
      <c r="E28" s="258">
        <f t="shared" si="53"/>
        <v>0.18928451564267934</v>
      </c>
      <c r="F28" s="258">
        <f t="shared" si="53"/>
        <v>0.22153437813191776</v>
      </c>
      <c r="G28" s="259">
        <f t="shared" si="53"/>
        <v>0.20116738735685499</v>
      </c>
      <c r="I28" s="257">
        <f t="shared" si="53"/>
        <v>0.2268644639244774</v>
      </c>
      <c r="J28" s="258">
        <f t="shared" si="53"/>
        <v>0.21081971706301264</v>
      </c>
      <c r="K28" s="258">
        <f t="shared" si="53"/>
        <v>0.20772474994131856</v>
      </c>
      <c r="L28" s="258">
        <f t="shared" si="53"/>
        <v>0.22761632209157207</v>
      </c>
      <c r="M28" s="259">
        <f t="shared" si="53"/>
        <v>0.21764137315496843</v>
      </c>
      <c r="O28" s="257">
        <f t="shared" si="53"/>
        <v>0.22633533685390378</v>
      </c>
      <c r="P28" s="258">
        <f t="shared" si="53"/>
        <v>0.1994595103007078</v>
      </c>
      <c r="Q28" s="258">
        <f t="shared" si="53"/>
        <v>0.18771613409135463</v>
      </c>
      <c r="R28" s="258">
        <f t="shared" si="53"/>
        <v>0.17990406044034205</v>
      </c>
      <c r="S28" s="259">
        <f t="shared" si="53"/>
        <v>0.19613911829990721</v>
      </c>
      <c r="U28" s="257">
        <f t="shared" si="53"/>
        <v>0.19684769782750627</v>
      </c>
      <c r="V28" s="258">
        <f t="shared" si="53"/>
        <v>0.1619086402990165</v>
      </c>
      <c r="W28" s="258">
        <f t="shared" si="53"/>
        <v>0.1588450038939184</v>
      </c>
      <c r="X28" s="258">
        <f t="shared" si="53"/>
        <v>0.18641739066270044</v>
      </c>
      <c r="Y28" s="259">
        <f t="shared" si="53"/>
        <v>0.17410058663338068</v>
      </c>
      <c r="AA28" s="257">
        <f t="shared" si="53"/>
        <v>0.17048858757173527</v>
      </c>
      <c r="AB28" s="258">
        <f t="shared" si="53"/>
        <v>0.15105975678934327</v>
      </c>
      <c r="AC28" s="258">
        <f t="shared" si="53"/>
        <v>0.17360243396512309</v>
      </c>
      <c r="AD28" s="258">
        <f t="shared" si="53"/>
        <v>0.22010503572522727</v>
      </c>
      <c r="AE28" s="259">
        <f t="shared" si="53"/>
        <v>0.17487018851804978</v>
      </c>
      <c r="AG28" s="257">
        <f t="shared" si="53"/>
        <v>0.23284673863612368</v>
      </c>
      <c r="AH28" s="223">
        <f t="shared" si="53"/>
        <v>0.22475131875580992</v>
      </c>
      <c r="AI28" s="306">
        <f>AVERAGE(AH28,AG28,AD28,AC28)</f>
        <v>0.21282638177057098</v>
      </c>
      <c r="AJ28" s="306">
        <f>AVERAGE(AD28,AH28,AG28,AI28)</f>
        <v>0.22263236872193298</v>
      </c>
      <c r="AK28" s="307">
        <f>AVERAGE(AG28,AI28,AH28,AJ28)</f>
        <v>0.22326420197110941</v>
      </c>
      <c r="AL28" s="571"/>
      <c r="AM28" s="306">
        <f>AVERAGE(AH28,AJ28,AI28,AG28)</f>
        <v>0.22326420197110941</v>
      </c>
      <c r="AN28" s="306">
        <f>AVERAGE(AI28,AH28,AJ28,AM28)</f>
        <v>0.22086856780485584</v>
      </c>
      <c r="AO28" s="306">
        <f>AVERAGE(AI28,AM28,AJ28,AN28)</f>
        <v>0.2198978800671173</v>
      </c>
      <c r="AP28" s="306">
        <f>AVERAGE(AJ28,AN28,AM28,AO28)</f>
        <v>0.22166575464125388</v>
      </c>
      <c r="AQ28" s="307">
        <f>AVERAGE(AM28,AO28,AN28,AP28)</f>
        <v>0.22142410112108413</v>
      </c>
      <c r="AR28" s="571"/>
      <c r="AS28" s="306">
        <f>AVERAGE(AM28,AG28,AA28,U28,O28,I28)</f>
        <v>0.21277450446414267</v>
      </c>
      <c r="AT28" s="306">
        <f t="shared" ref="AT28" si="54">AVERAGE(AN28,AH28,AB28,V28,P28,J28)</f>
        <v>0.19481125183545767</v>
      </c>
      <c r="AU28" s="306">
        <f t="shared" ref="AU28" si="55">AVERAGE(AO28,AI28,AC28,W28,Q28,K28)</f>
        <v>0.19343543062156718</v>
      </c>
      <c r="AV28" s="306">
        <f t="shared" ref="AV28" si="56">AVERAGE(AP28,AJ28,AD28,X28,R28,L28)</f>
        <v>0.20972348871383814</v>
      </c>
      <c r="AW28" s="307">
        <f>AVERAGE(AS28,AU28,AT28,AV28)</f>
        <v>0.20268616890875141</v>
      </c>
      <c r="AX28" s="571"/>
      <c r="AY28" s="306">
        <f>AVERAGE(AS28,AM28,AG28,AA28,U28,O28)</f>
        <v>0.21042617788742021</v>
      </c>
      <c r="AZ28" s="306">
        <f t="shared" ref="AZ28:AZ29" si="57">AVERAGE(AT28,AN28,AH28,AB28,V28,P28)</f>
        <v>0.19214317429753183</v>
      </c>
      <c r="BA28" s="306">
        <f t="shared" ref="BA28:BA29" si="58">AVERAGE(AU28,AO28,AI28,AC28,W28,Q28)</f>
        <v>0.19105387740160862</v>
      </c>
      <c r="BB28" s="306">
        <f t="shared" ref="BB28:BB29" si="59">AVERAGE(AV28,AP28,AJ28,AD28,X28,R28)</f>
        <v>0.20674134981754913</v>
      </c>
      <c r="BC28" s="307">
        <f>AVERAGE(AY28,BA28,AZ28,BB28)</f>
        <v>0.20009114485102744</v>
      </c>
      <c r="BD28" s="571"/>
      <c r="BE28" s="306">
        <f>AVERAGE(AY28,AS28,AM28,AG28,AA28,U28)</f>
        <v>0.20777465139300624</v>
      </c>
      <c r="BF28" s="306">
        <f t="shared" ref="BF28:BF29" si="60">AVERAGE(AZ28,AT28,AN28,AH28,AB28,V28)</f>
        <v>0.19092378496366916</v>
      </c>
      <c r="BG28" s="306">
        <f t="shared" ref="BG28:BG29" si="61">AVERAGE(BA28,AU28,AO28,AI28,AC28,W28)</f>
        <v>0.19161016795331762</v>
      </c>
      <c r="BH28" s="306">
        <f t="shared" ref="BH28:BH29" si="62">AVERAGE(BB28,AV28,AP28,AJ28,AD28,X28)</f>
        <v>0.21121423138041695</v>
      </c>
      <c r="BI28" s="307">
        <f>AVERAGE(BE28,BG28,BF28,BH28)</f>
        <v>0.20038070892260249</v>
      </c>
    </row>
    <row r="29" spans="1:61">
      <c r="A29" s="180" t="s">
        <v>116</v>
      </c>
      <c r="C29" s="257">
        <f>C10/C4</f>
        <v>1.341949946954781E-2</v>
      </c>
      <c r="D29" s="258">
        <f t="shared" ref="D29:AH29" si="63">D10/D4</f>
        <v>1.185135279976726E-2</v>
      </c>
      <c r="E29" s="258">
        <f t="shared" si="63"/>
        <v>1.1850078382150867E-2</v>
      </c>
      <c r="F29" s="258">
        <f t="shared" si="63"/>
        <v>1.3885064813489136E-2</v>
      </c>
      <c r="G29" s="259">
        <f t="shared" si="63"/>
        <v>1.267429157446868E-2</v>
      </c>
      <c r="I29" s="257">
        <f t="shared" si="63"/>
        <v>1.4452277324832955E-2</v>
      </c>
      <c r="J29" s="258">
        <f t="shared" si="63"/>
        <v>1.2503918303953273E-2</v>
      </c>
      <c r="K29" s="258">
        <f t="shared" si="63"/>
        <v>1.2307203052949595E-2</v>
      </c>
      <c r="L29" s="258">
        <f t="shared" si="63"/>
        <v>1.6028256272918671E-2</v>
      </c>
      <c r="M29" s="259">
        <f t="shared" si="63"/>
        <v>1.3740670023519213E-2</v>
      </c>
      <c r="O29" s="257">
        <f t="shared" si="63"/>
        <v>1.6451961112935998E-2</v>
      </c>
      <c r="P29" s="258">
        <f t="shared" si="63"/>
        <v>1.463526453722497E-2</v>
      </c>
      <c r="Q29" s="258">
        <f t="shared" si="63"/>
        <v>1.2817965976170249E-2</v>
      </c>
      <c r="R29" s="258">
        <f t="shared" si="63"/>
        <v>1.1564905403910287E-2</v>
      </c>
      <c r="S29" s="259">
        <f t="shared" si="63"/>
        <v>1.3619314877167254E-2</v>
      </c>
      <c r="U29" s="257">
        <f t="shared" si="63"/>
        <v>3.2184533186384028E-2</v>
      </c>
      <c r="V29" s="258">
        <f t="shared" si="63"/>
        <v>2.2813206849520914E-2</v>
      </c>
      <c r="W29" s="258">
        <f t="shared" si="63"/>
        <v>2.5405230739626656E-2</v>
      </c>
      <c r="X29" s="258">
        <f t="shared" si="63"/>
        <v>3.1468826439234064E-2</v>
      </c>
      <c r="Y29" s="259">
        <f t="shared" si="63"/>
        <v>2.7513620285579628E-2</v>
      </c>
      <c r="AA29" s="257">
        <f t="shared" si="63"/>
        <v>1.9704879186908383E-2</v>
      </c>
      <c r="AB29" s="258">
        <f t="shared" si="63"/>
        <v>1.7016256539063874E-2</v>
      </c>
      <c r="AC29" s="258">
        <f t="shared" si="63"/>
        <v>2.1811647493006552E-2</v>
      </c>
      <c r="AD29" s="258">
        <f t="shared" si="63"/>
        <v>3.2510817394577014E-2</v>
      </c>
      <c r="AE29" s="259">
        <f t="shared" si="63"/>
        <v>2.1874982674348419E-2</v>
      </c>
      <c r="AG29" s="257">
        <f t="shared" si="63"/>
        <v>3.5163007678493161E-2</v>
      </c>
      <c r="AH29" s="223">
        <f t="shared" si="63"/>
        <v>3.0684339871359208E-2</v>
      </c>
      <c r="AI29" s="306">
        <f>AVERAGE(AH29,AG29,AD29,AC29)</f>
        <v>3.0042453109358987E-2</v>
      </c>
      <c r="AJ29" s="306">
        <f>AVERAGE(AI29,AH29,AG29,AD29)</f>
        <v>3.2100154513447089E-2</v>
      </c>
      <c r="AK29" s="307">
        <f>AVERAGE(AE29,Y29,S29)</f>
        <v>2.1002639279031763E-2</v>
      </c>
      <c r="AL29" s="571"/>
      <c r="AM29" s="306">
        <f>AVERAGE(AH29,AJ29,AI29,AG29)</f>
        <v>3.1997488793164608E-2</v>
      </c>
      <c r="AN29" s="306">
        <f>AVERAGE(AM29,AJ29,AI29,AH29)</f>
        <v>3.1206109071832473E-2</v>
      </c>
      <c r="AO29" s="306">
        <f>AVERAGE(AN29,AM29,AJ29,AI29)</f>
        <v>3.1336551371950787E-2</v>
      </c>
      <c r="AP29" s="306">
        <f>AVERAGE(AO29,AN29,AM29,AJ29)</f>
        <v>3.1660075937598738E-2</v>
      </c>
      <c r="AQ29" s="307">
        <f>AVERAGE(AK29,AE29,Y29)</f>
        <v>2.3463747412986607E-2</v>
      </c>
      <c r="AR29" s="571"/>
      <c r="AS29" s="306">
        <f>AVERAGE(AM29,AG29,AA29,U29,O29,I29)</f>
        <v>2.4992357880453189E-2</v>
      </c>
      <c r="AT29" s="306">
        <f t="shared" ref="AT29" si="64">AVERAGE(AN29,AH29,AB29,V29,P29,J29)</f>
        <v>2.147651586215912E-2</v>
      </c>
      <c r="AU29" s="306">
        <f t="shared" ref="AU29" si="65">AVERAGE(AO29,AI29,AC29,W29,Q29,K29)</f>
        <v>2.2286841957177141E-2</v>
      </c>
      <c r="AV29" s="306">
        <f t="shared" ref="AV29" si="66">AVERAGE(AP29,AJ29,AD29,X29,R29,L29)</f>
        <v>2.5888839326947646E-2</v>
      </c>
      <c r="AW29" s="307">
        <f>AVERAGE(AQ29,AK29,AE29)</f>
        <v>2.2113789788788928E-2</v>
      </c>
      <c r="AX29" s="571"/>
      <c r="AY29" s="306">
        <f>AVERAGE(AS29,AM29,AG29,AA29,U29,O29)</f>
        <v>2.6749037973056566E-2</v>
      </c>
      <c r="AZ29" s="306">
        <f t="shared" si="57"/>
        <v>2.297194878852676E-2</v>
      </c>
      <c r="BA29" s="306">
        <f t="shared" si="58"/>
        <v>2.3950115107881729E-2</v>
      </c>
      <c r="BB29" s="306">
        <f t="shared" si="59"/>
        <v>2.7532269835952472E-2</v>
      </c>
      <c r="BC29" s="307">
        <f>AVERAGE(AW29,AQ29,AK29)</f>
        <v>2.2193392160269099E-2</v>
      </c>
      <c r="BD29" s="599"/>
      <c r="BE29" s="306">
        <f>AVERAGE(AY29,AS29,AM29,AG29,AA29,U29)</f>
        <v>2.8465217449743323E-2</v>
      </c>
      <c r="BF29" s="306">
        <f t="shared" si="60"/>
        <v>2.4361396163743724E-2</v>
      </c>
      <c r="BG29" s="306">
        <f t="shared" si="61"/>
        <v>2.5805473296500309E-2</v>
      </c>
      <c r="BH29" s="306">
        <f t="shared" si="62"/>
        <v>3.0193497241292836E-2</v>
      </c>
      <c r="BI29" s="307">
        <f>AVERAGE(BC29,AW29,AQ29)</f>
        <v>2.2590309787348214E-2</v>
      </c>
    </row>
    <row r="30" spans="1:61">
      <c r="A30" s="180" t="s">
        <v>118</v>
      </c>
      <c r="C30" s="257">
        <f>C13/C59</f>
        <v>1.3867382973537784E-2</v>
      </c>
      <c r="D30" s="258">
        <f t="shared" ref="D30:AG30" si="67">D13/D59</f>
        <v>1.4817502224646577E-2</v>
      </c>
      <c r="E30" s="258">
        <f t="shared" si="67"/>
        <v>1.5931365841216183E-2</v>
      </c>
      <c r="F30" s="258">
        <f t="shared" si="67"/>
        <v>1.5143663604681027E-2</v>
      </c>
      <c r="G30" s="259">
        <f t="shared" si="67"/>
        <v>7.0007743918888754E-2</v>
      </c>
      <c r="I30" s="257">
        <f t="shared" si="67"/>
        <v>1.5940873896106805E-2</v>
      </c>
      <c r="J30" s="258">
        <f t="shared" si="67"/>
        <v>2.0684819446067548E-2</v>
      </c>
      <c r="K30" s="258">
        <f t="shared" si="67"/>
        <v>2.0576585729232925E-2</v>
      </c>
      <c r="L30" s="258">
        <f t="shared" si="67"/>
        <v>2.1512480839957476E-2</v>
      </c>
      <c r="M30" s="259">
        <f t="shared" si="67"/>
        <v>8.5761054894402527E-2</v>
      </c>
      <c r="O30" s="257">
        <f t="shared" si="67"/>
        <v>3.3607707944093075E-2</v>
      </c>
      <c r="P30" s="258">
        <f t="shared" si="67"/>
        <v>1.6992377132919782E-2</v>
      </c>
      <c r="Q30" s="258">
        <f t="shared" si="67"/>
        <v>1.7814738912400756E-2</v>
      </c>
      <c r="R30" s="258">
        <f t="shared" si="67"/>
        <v>1.8098759788465812E-2</v>
      </c>
      <c r="S30" s="259">
        <f t="shared" si="67"/>
        <v>8.4969362610800264E-2</v>
      </c>
      <c r="U30" s="257">
        <f t="shared" si="67"/>
        <v>1.9205010044574873E-2</v>
      </c>
      <c r="V30" s="258">
        <f t="shared" si="67"/>
        <v>1.3599554167520869E-2</v>
      </c>
      <c r="W30" s="258">
        <f t="shared" si="67"/>
        <v>1.4859087873357624E-2</v>
      </c>
      <c r="X30" s="258">
        <f t="shared" si="67"/>
        <v>1.3767026802026711E-2</v>
      </c>
      <c r="Y30" s="259">
        <f t="shared" si="67"/>
        <v>4.6435862892934741E-2</v>
      </c>
      <c r="AA30" s="257">
        <f t="shared" si="67"/>
        <v>1.2181167220825155E-2</v>
      </c>
      <c r="AB30" s="258">
        <f t="shared" si="67"/>
        <v>1.9906473495662887E-2</v>
      </c>
      <c r="AC30" s="258">
        <f t="shared" si="67"/>
        <v>1.3917648888806155E-2</v>
      </c>
      <c r="AD30" s="258">
        <f t="shared" si="67"/>
        <v>1.4182418006059421E-2</v>
      </c>
      <c r="AE30" s="259">
        <f t="shared" si="67"/>
        <v>6.6616361781451125E-2</v>
      </c>
      <c r="AG30" s="257">
        <f t="shared" si="67"/>
        <v>1.3181702639721415E-2</v>
      </c>
      <c r="AH30" s="223">
        <f>AH13/AH59</f>
        <v>1.4444202266782911E-2</v>
      </c>
      <c r="AI30" s="306">
        <f>AVERAGE(AC30,W30,Q30,K30)</f>
        <v>1.6792015350949367E-2</v>
      </c>
      <c r="AJ30" s="306">
        <f>AVERAGE(AD30,X30,R30,L30)</f>
        <v>1.6890171359127355E-2</v>
      </c>
      <c r="AK30" s="307">
        <f>AVERAGE(AE30,Y30,S30,M30,M30)</f>
        <v>7.3908739414798225E-2</v>
      </c>
      <c r="AL30" s="571"/>
      <c r="AM30" s="306">
        <f t="shared" ref="AM30:AQ30" si="68">AVERAGE(AG30,AA30,U30,O30)</f>
        <v>1.9543896962303631E-2</v>
      </c>
      <c r="AN30" s="306">
        <f t="shared" si="68"/>
        <v>1.6235651765721615E-2</v>
      </c>
      <c r="AO30" s="306">
        <f t="shared" si="68"/>
        <v>1.5845872756378478E-2</v>
      </c>
      <c r="AP30" s="306">
        <f t="shared" si="68"/>
        <v>1.5734593988919826E-2</v>
      </c>
      <c r="AQ30" s="307">
        <f t="shared" si="68"/>
        <v>6.7982581674996087E-2</v>
      </c>
      <c r="AR30" s="599"/>
      <c r="AS30" s="306">
        <f t="shared" ref="AS30" si="69">AVERAGE(AM30,AG30,AA30,U30)</f>
        <v>1.6027944216856271E-2</v>
      </c>
      <c r="AT30" s="306">
        <f t="shared" ref="AT30" si="70">AVERAGE(AN30,AH30,AB30,V30)</f>
        <v>1.6046470423922071E-2</v>
      </c>
      <c r="AU30" s="306">
        <f t="shared" ref="AU30" si="71">AVERAGE(AO30,AI30,AC30,W30)</f>
        <v>1.5353656217372906E-2</v>
      </c>
      <c r="AV30" s="306">
        <f t="shared" ref="AV30" si="72">AVERAGE(AP30,AJ30,AD30,X30)</f>
        <v>1.5143552539033328E-2</v>
      </c>
      <c r="AW30" s="307">
        <f t="shared" ref="AW30" si="73">AVERAGE(AQ30,AK30,AE30,Y30)</f>
        <v>6.3735886441045039E-2</v>
      </c>
      <c r="AY30" s="327">
        <f t="shared" ref="AY30" si="74">AVERAGE(AS30,AM30,AG30,AA30)</f>
        <v>1.5233677759926619E-2</v>
      </c>
      <c r="AZ30" s="306">
        <f t="shared" ref="AZ30" si="75">AVERAGE(AT30,AN30,AH30,AB30)</f>
        <v>1.6658199488022371E-2</v>
      </c>
      <c r="BA30" s="306">
        <f t="shared" ref="BA30" si="76">AVERAGE(AU30,AO30,AI30,AC30)</f>
        <v>1.5477298303376727E-2</v>
      </c>
      <c r="BB30" s="306">
        <f t="shared" ref="BB30" si="77">AVERAGE(AV30,AP30,AJ30,AD30)</f>
        <v>1.5487683973284982E-2</v>
      </c>
      <c r="BC30" s="307">
        <f t="shared" ref="BC30" si="78">AVERAGE(AW30,AQ30,AK30,AE30)</f>
        <v>6.8060892328072622E-2</v>
      </c>
      <c r="BD30" s="599"/>
      <c r="BE30" s="306">
        <f t="shared" ref="BE30" si="79">AVERAGE(AY30,AS30,AM30,AG30)</f>
        <v>1.5996805394701986E-2</v>
      </c>
      <c r="BF30" s="306">
        <f t="shared" ref="BF30" si="80">AVERAGE(AZ30,AT30,AN30,AH30)</f>
        <v>1.584613098611224E-2</v>
      </c>
      <c r="BG30" s="306">
        <f t="shared" ref="BG30" si="81">AVERAGE(BA30,AU30,AO30,AI30)</f>
        <v>1.5867210657019369E-2</v>
      </c>
      <c r="BH30" s="306">
        <f t="shared" ref="BH30" si="82">AVERAGE(BB30,AV30,AP30,AJ30)</f>
        <v>1.5814000465091373E-2</v>
      </c>
      <c r="BI30" s="307">
        <f t="shared" ref="BI30" si="83">AVERAGE(BC30,AW30,AQ30,AK30)</f>
        <v>6.842202496472799E-2</v>
      </c>
    </row>
    <row r="31" spans="1:61" ht="17.25" thickBot="1">
      <c r="A31" s="231" t="s">
        <v>117</v>
      </c>
      <c r="C31" s="260">
        <f>C16/C14</f>
        <v>8.5898748130068495E-2</v>
      </c>
      <c r="D31" s="261">
        <f t="shared" ref="D31:AH31" si="84">D16/D14</f>
        <v>0.25105155948255337</v>
      </c>
      <c r="E31" s="261">
        <f t="shared" si="84"/>
        <v>0.20882156189982953</v>
      </c>
      <c r="F31" s="261">
        <f t="shared" si="84"/>
        <v>0.22436595148280131</v>
      </c>
      <c r="G31" s="262">
        <f t="shared" si="84"/>
        <v>0.21308891488178558</v>
      </c>
      <c r="I31" s="260">
        <f t="shared" si="84"/>
        <v>0.24009363694403066</v>
      </c>
      <c r="J31" s="261">
        <f t="shared" si="84"/>
        <v>0.2278960852277338</v>
      </c>
      <c r="K31" s="261">
        <f t="shared" si="84"/>
        <v>0.23284631397038608</v>
      </c>
      <c r="L31" s="261">
        <f t="shared" si="84"/>
        <v>0.13200302152838977</v>
      </c>
      <c r="M31" s="262">
        <f t="shared" si="84"/>
        <v>0.21554349171544271</v>
      </c>
      <c r="O31" s="260">
        <f t="shared" si="84"/>
        <v>2.7617568766637089E-2</v>
      </c>
      <c r="P31" s="261">
        <f t="shared" si="84"/>
        <v>0.22958132815321691</v>
      </c>
      <c r="Q31" s="261">
        <f t="shared" si="84"/>
        <v>0.23079264199078012</v>
      </c>
      <c r="R31" s="261">
        <f t="shared" si="84"/>
        <v>0.24367540217955372</v>
      </c>
      <c r="S31" s="262">
        <f t="shared" si="84"/>
        <v>0.23183949667537226</v>
      </c>
      <c r="U31" s="260">
        <f t="shared" si="84"/>
        <v>0.20143259050862516</v>
      </c>
      <c r="V31" s="261">
        <f t="shared" si="84"/>
        <v>0.2378874476391041</v>
      </c>
      <c r="W31" s="261">
        <f t="shared" si="84"/>
        <v>0.23498975652725063</v>
      </c>
      <c r="X31" s="261">
        <f t="shared" si="84"/>
        <v>0.23912049058823126</v>
      </c>
      <c r="Y31" s="262">
        <f t="shared" si="84"/>
        <v>0.2336753352250697</v>
      </c>
      <c r="AA31" s="260">
        <f t="shared" si="84"/>
        <v>0.22231367881229094</v>
      </c>
      <c r="AB31" s="261">
        <f t="shared" si="84"/>
        <v>0.23776650326254892</v>
      </c>
      <c r="AC31" s="261">
        <f t="shared" si="84"/>
        <v>0.23949497999313696</v>
      </c>
      <c r="AD31" s="261">
        <f t="shared" si="84"/>
        <v>0.20517723224990284</v>
      </c>
      <c r="AE31" s="262">
        <f t="shared" si="84"/>
        <v>0.23026384492220101</v>
      </c>
      <c r="AG31" s="260">
        <f t="shared" si="84"/>
        <v>0.21475974827971533</v>
      </c>
      <c r="AH31" s="308">
        <f t="shared" si="84"/>
        <v>0.22790884943593814</v>
      </c>
      <c r="AI31" s="309">
        <f>AVERAGE(AG31:AH31,AC31:AD31)</f>
        <v>0.22183520248967331</v>
      </c>
      <c r="AJ31" s="309">
        <f>$AI$31</f>
        <v>0.22183520248967331</v>
      </c>
      <c r="AK31" s="310">
        <f>AVERAGE(AG31:AJ31)</f>
        <v>0.22158475067375</v>
      </c>
      <c r="AM31" s="328">
        <f>$AI$31</f>
        <v>0.22183520248967331</v>
      </c>
      <c r="AN31" s="309">
        <f>$AI$31</f>
        <v>0.22183520248967331</v>
      </c>
      <c r="AO31" s="309">
        <f>$AI$31</f>
        <v>0.22183520248967331</v>
      </c>
      <c r="AP31" s="309">
        <f>$AI$31</f>
        <v>0.22183520248967331</v>
      </c>
      <c r="AQ31" s="310">
        <f>AVERAGE(AM31:AP31)</f>
        <v>0.22183520248967331</v>
      </c>
      <c r="AS31" s="328">
        <f>$AI$31</f>
        <v>0.22183520248967331</v>
      </c>
      <c r="AT31" s="309">
        <f>$AI$31</f>
        <v>0.22183520248967331</v>
      </c>
      <c r="AU31" s="309">
        <f>$AI$31</f>
        <v>0.22183520248967331</v>
      </c>
      <c r="AV31" s="309">
        <f>$AI$31</f>
        <v>0.22183520248967331</v>
      </c>
      <c r="AW31" s="310">
        <f>AVERAGE(AS31:AV31)</f>
        <v>0.22183520248967331</v>
      </c>
      <c r="AY31" s="328">
        <f>$AI$31</f>
        <v>0.22183520248967331</v>
      </c>
      <c r="AZ31" s="309">
        <f>$AI$31</f>
        <v>0.22183520248967331</v>
      </c>
      <c r="BA31" s="309">
        <f>$AI$31</f>
        <v>0.22183520248967331</v>
      </c>
      <c r="BB31" s="309">
        <f>$AI$31</f>
        <v>0.22183520248967331</v>
      </c>
      <c r="BC31" s="310">
        <f>AVERAGE(AY31:BB31)</f>
        <v>0.22183520248967331</v>
      </c>
      <c r="BD31" s="599"/>
      <c r="BE31" s="309">
        <f>$AI$31</f>
        <v>0.22183520248967331</v>
      </c>
      <c r="BF31" s="309">
        <f>$AI$31</f>
        <v>0.22183520248967331</v>
      </c>
      <c r="BG31" s="309">
        <f>$AI$31</f>
        <v>0.22183520248967331</v>
      </c>
      <c r="BH31" s="309">
        <f>$AI$31</f>
        <v>0.22183520248967331</v>
      </c>
      <c r="BI31" s="310">
        <f>AVERAGE(BE31:BH31)</f>
        <v>0.22183520248967331</v>
      </c>
    </row>
    <row r="32" spans="1:61" ht="17.25" thickBot="1"/>
    <row r="33" spans="1:61" ht="17.25" thickBot="1">
      <c r="A33" s="209" t="s">
        <v>121</v>
      </c>
      <c r="C33" s="263"/>
      <c r="D33" s="198"/>
      <c r="E33" s="198"/>
      <c r="F33" s="198"/>
      <c r="G33" s="199"/>
      <c r="I33" s="263"/>
      <c r="J33" s="198"/>
      <c r="K33" s="198"/>
      <c r="L33" s="198"/>
      <c r="M33" s="199"/>
      <c r="O33" s="263"/>
      <c r="P33" s="198"/>
      <c r="Q33" s="198"/>
      <c r="R33" s="198"/>
      <c r="S33" s="199"/>
      <c r="U33" s="263"/>
      <c r="V33" s="198"/>
      <c r="W33" s="198"/>
      <c r="X33" s="198"/>
      <c r="Y33" s="199"/>
      <c r="AA33" s="263"/>
      <c r="AB33" s="198"/>
      <c r="AC33" s="198"/>
      <c r="AD33" s="198"/>
      <c r="AE33" s="199"/>
      <c r="AG33" s="263"/>
      <c r="AH33" s="198"/>
      <c r="AI33" s="198"/>
      <c r="AJ33" s="198"/>
      <c r="AK33" s="199"/>
      <c r="AM33" s="263"/>
      <c r="AN33" s="198"/>
      <c r="AO33" s="198"/>
      <c r="AP33" s="198"/>
      <c r="AQ33" s="199"/>
      <c r="AS33" s="263"/>
      <c r="AT33" s="198"/>
      <c r="AU33" s="198"/>
      <c r="AV33" s="198"/>
      <c r="AW33" s="199"/>
      <c r="AY33" s="263"/>
      <c r="AZ33" s="198"/>
      <c r="BA33" s="198"/>
      <c r="BB33" s="198"/>
      <c r="BC33" s="199"/>
      <c r="BE33" s="263"/>
      <c r="BF33" s="198"/>
      <c r="BG33" s="198"/>
      <c r="BH33" s="198"/>
      <c r="BI33" s="199"/>
    </row>
    <row r="34" spans="1:61">
      <c r="A34" s="211" t="s">
        <v>11</v>
      </c>
      <c r="C34" s="264"/>
      <c r="D34" s="265"/>
      <c r="E34" s="265"/>
      <c r="F34" s="265"/>
      <c r="G34" s="266"/>
      <c r="I34" s="264"/>
      <c r="J34" s="265"/>
      <c r="K34" s="265"/>
      <c r="L34" s="265"/>
      <c r="M34" s="266"/>
      <c r="O34" s="264"/>
      <c r="P34" s="265"/>
      <c r="Q34" s="265"/>
      <c r="R34" s="265"/>
      <c r="S34" s="266"/>
      <c r="U34" s="264"/>
      <c r="V34" s="265"/>
      <c r="W34" s="265"/>
      <c r="X34" s="265"/>
      <c r="Y34" s="266"/>
      <c r="AA34" s="264"/>
      <c r="AB34" s="265"/>
      <c r="AC34" s="265"/>
      <c r="AD34" s="265"/>
      <c r="AE34" s="266"/>
      <c r="AG34" s="264"/>
      <c r="AH34" s="311"/>
      <c r="AI34" s="265"/>
      <c r="AJ34" s="265"/>
      <c r="AK34" s="266"/>
      <c r="AM34" s="264"/>
      <c r="AN34" s="265"/>
      <c r="AO34" s="265"/>
      <c r="AP34" s="265"/>
      <c r="AQ34" s="266"/>
      <c r="AS34" s="264"/>
      <c r="AT34" s="265"/>
      <c r="AU34" s="265"/>
      <c r="AV34" s="265"/>
      <c r="AW34" s="266"/>
      <c r="AY34" s="264"/>
      <c r="AZ34" s="265"/>
      <c r="BA34" s="265"/>
      <c r="BB34" s="265"/>
      <c r="BC34" s="266"/>
      <c r="BE34" s="264"/>
      <c r="BF34" s="265"/>
      <c r="BG34" s="265"/>
      <c r="BH34" s="265"/>
      <c r="BI34" s="266"/>
    </row>
    <row r="35" spans="1:61">
      <c r="A35" s="214" t="s">
        <v>12</v>
      </c>
      <c r="C35" s="747">
        <v>10069</v>
      </c>
      <c r="D35" s="748">
        <v>13196</v>
      </c>
      <c r="E35" s="748">
        <v>34446</v>
      </c>
      <c r="F35" s="748">
        <v>10127</v>
      </c>
      <c r="G35" s="749">
        <v>10127</v>
      </c>
      <c r="I35" s="747">
        <v>11724</v>
      </c>
      <c r="J35" s="748">
        <v>10552</v>
      </c>
      <c r="K35" s="748">
        <v>43271</v>
      </c>
      <c r="L35" s="748">
        <v>14096</v>
      </c>
      <c r="M35" s="749">
        <v>14096</v>
      </c>
      <c r="O35" s="747">
        <v>163872</v>
      </c>
      <c r="P35" s="748">
        <v>385461</v>
      </c>
      <c r="Q35" s="748">
        <v>340927</v>
      </c>
      <c r="R35" s="748">
        <v>423806</v>
      </c>
      <c r="S35" s="749">
        <v>423806</v>
      </c>
      <c r="U35" s="747">
        <v>19118</v>
      </c>
      <c r="V35" s="748">
        <v>90266</v>
      </c>
      <c r="W35" s="748">
        <v>224735</v>
      </c>
      <c r="X35" s="748">
        <v>42603</v>
      </c>
      <c r="Y35" s="749">
        <v>42603</v>
      </c>
      <c r="AA35" s="747">
        <v>281802</v>
      </c>
      <c r="AB35" s="748">
        <v>166185</v>
      </c>
      <c r="AC35" s="748">
        <v>84982</v>
      </c>
      <c r="AD35" s="748">
        <v>80445</v>
      </c>
      <c r="AE35" s="749">
        <v>80445</v>
      </c>
      <c r="AG35" s="747">
        <v>144407</v>
      </c>
      <c r="AH35" s="755">
        <v>89316</v>
      </c>
      <c r="AI35" s="268">
        <f>AH35+AI90</f>
        <v>383151.07783968444</v>
      </c>
      <c r="AJ35" s="268">
        <f>AI35+AJ90</f>
        <v>1022633.0583300516</v>
      </c>
      <c r="AK35" s="269">
        <f t="shared" ref="AK35:AK68" si="85">AJ35</f>
        <v>1022633.0583300516</v>
      </c>
      <c r="AM35" s="267">
        <f>AK35+AM90</f>
        <v>1211016.9294185983</v>
      </c>
      <c r="AN35" s="268">
        <f t="shared" ref="AN35:AP35" si="86">AM35+AN90</f>
        <v>1181006.8929709527</v>
      </c>
      <c r="AO35" s="268">
        <f t="shared" si="86"/>
        <v>1183664.4030573119</v>
      </c>
      <c r="AP35" s="268">
        <f t="shared" si="86"/>
        <v>2055399.4544349737</v>
      </c>
      <c r="AQ35" s="269">
        <f t="shared" ref="AQ35:AQ68" si="87">AP35</f>
        <v>2055399.4544349737</v>
      </c>
      <c r="AS35" s="267">
        <f>AQ35+AS90</f>
        <v>2376594.0777693759</v>
      </c>
      <c r="AT35" s="268">
        <f t="shared" ref="AT35:AV35" si="88">AS35+AT90</f>
        <v>2215000.4592928598</v>
      </c>
      <c r="AU35" s="268">
        <f t="shared" si="88"/>
        <v>2240182.9146147883</v>
      </c>
      <c r="AV35" s="268">
        <f t="shared" si="88"/>
        <v>3345054.6331575434</v>
      </c>
      <c r="AW35" s="269">
        <f t="shared" ref="AW35:AW68" si="89">AV35</f>
        <v>3345054.6331575434</v>
      </c>
      <c r="AY35" s="267">
        <f>AW35+AY90</f>
        <v>3983289.4192323587</v>
      </c>
      <c r="AZ35" s="268">
        <f t="shared" ref="AZ35:BB35" si="90">AY35+AZ90</f>
        <v>3961457.7722984464</v>
      </c>
      <c r="BA35" s="268">
        <f t="shared" si="90"/>
        <v>4161948.536047338</v>
      </c>
      <c r="BB35" s="268">
        <f t="shared" si="90"/>
        <v>5329773.0995905343</v>
      </c>
      <c r="BC35" s="269">
        <f t="shared" ref="BC35:BC68" si="91">BB35</f>
        <v>5329773.0995905343</v>
      </c>
      <c r="BE35" s="267">
        <f>BC35+BE90</f>
        <v>6150456.2390718944</v>
      </c>
      <c r="BF35" s="268">
        <f t="shared" ref="BF35:BH35" si="92">BE35+BF90</f>
        <v>6047614.1050889036</v>
      </c>
      <c r="BG35" s="268">
        <f t="shared" si="92"/>
        <v>6402070.8183747055</v>
      </c>
      <c r="BH35" s="268">
        <f t="shared" si="92"/>
        <v>7650596.8222269071</v>
      </c>
      <c r="BI35" s="269">
        <f t="shared" ref="BI35:BI68" si="93">BH35</f>
        <v>7650596.8222269071</v>
      </c>
    </row>
    <row r="36" spans="1:61">
      <c r="A36" s="214" t="s">
        <v>119</v>
      </c>
      <c r="C36" s="747">
        <v>710448</v>
      </c>
      <c r="D36" s="748">
        <v>820396</v>
      </c>
      <c r="E36" s="748">
        <v>805317</v>
      </c>
      <c r="F36" s="748">
        <v>654170</v>
      </c>
      <c r="G36" s="749">
        <v>654170</v>
      </c>
      <c r="I36" s="747">
        <v>648942</v>
      </c>
      <c r="J36" s="748">
        <v>715405</v>
      </c>
      <c r="K36" s="748">
        <v>721134</v>
      </c>
      <c r="L36" s="748">
        <v>614946</v>
      </c>
      <c r="M36" s="749">
        <v>614946</v>
      </c>
      <c r="O36" s="747">
        <v>702192</v>
      </c>
      <c r="P36" s="748">
        <v>719684</v>
      </c>
      <c r="Q36" s="748">
        <v>860842</v>
      </c>
      <c r="R36" s="748">
        <v>880018</v>
      </c>
      <c r="S36" s="749">
        <v>880018</v>
      </c>
      <c r="U36" s="747">
        <v>1749650</v>
      </c>
      <c r="V36" s="748">
        <v>2174674</v>
      </c>
      <c r="W36" s="748">
        <v>2134269</v>
      </c>
      <c r="X36" s="748">
        <v>1708796</v>
      </c>
      <c r="Y36" s="749">
        <v>1708796</v>
      </c>
      <c r="AA36" s="747">
        <v>2290513</v>
      </c>
      <c r="AB36" s="748">
        <v>2407841</v>
      </c>
      <c r="AC36" s="748">
        <v>1924912</v>
      </c>
      <c r="AD36" s="748">
        <v>1448139</v>
      </c>
      <c r="AE36" s="749">
        <v>1448139</v>
      </c>
      <c r="AG36" s="747">
        <v>1429939</v>
      </c>
      <c r="AH36" s="755">
        <v>1618666</v>
      </c>
      <c r="AI36" s="268">
        <f>(AI4/90)*AI97</f>
        <v>1759530.4982716811</v>
      </c>
      <c r="AJ36" s="268">
        <f>(AJ4/90)*AJ97</f>
        <v>1380528.2202929461</v>
      </c>
      <c r="AK36" s="269">
        <f t="shared" si="85"/>
        <v>1380528.2202929461</v>
      </c>
      <c r="AM36" s="267">
        <f>(AM4/90)*AM97</f>
        <v>1456971.2998738904</v>
      </c>
      <c r="AN36" s="268">
        <f>(AN4/90)*AN97</f>
        <v>1794872.5058089765</v>
      </c>
      <c r="AO36" s="268">
        <f>(AO4/90)*AO97</f>
        <v>2151900.2045621355</v>
      </c>
      <c r="AP36" s="268">
        <f>(AP4/90)*AP97</f>
        <v>1524917.2467543886</v>
      </c>
      <c r="AQ36" s="269">
        <f t="shared" si="87"/>
        <v>1524917.2467543886</v>
      </c>
      <c r="AS36" s="267">
        <f>(AS4/90)*AS97</f>
        <v>1547654.968767311</v>
      </c>
      <c r="AT36" s="268">
        <f>(AT4/90)*AT97</f>
        <v>1985985.1135186274</v>
      </c>
      <c r="AU36" s="268">
        <f>(AU4/90)*AU97</f>
        <v>2444795.0561946621</v>
      </c>
      <c r="AV36" s="268">
        <f>(AV4/90)*AV97</f>
        <v>1727629.8899908639</v>
      </c>
      <c r="AW36" s="269">
        <f t="shared" si="89"/>
        <v>1727629.8899908639</v>
      </c>
      <c r="AY36" s="267">
        <f>(AY4/90)*AY97</f>
        <v>1592589.5635311462</v>
      </c>
      <c r="AZ36" s="268">
        <f>(AZ4/90)*AZ97</f>
        <v>2111958.7960023256</v>
      </c>
      <c r="BA36" s="268">
        <f>(BA4/90)*BA97</f>
        <v>2563329.2585352515</v>
      </c>
      <c r="BB36" s="268">
        <f>(BB4/90)*BB97</f>
        <v>1880519.3723129909</v>
      </c>
      <c r="BC36" s="269">
        <f t="shared" si="91"/>
        <v>1880519.3723129909</v>
      </c>
      <c r="BE36" s="267">
        <f>(BE4/90)*BE97</f>
        <v>1661744.1807764694</v>
      </c>
      <c r="BF36" s="268">
        <f>(BF4/90)*BF97</f>
        <v>2403199.3072264926</v>
      </c>
      <c r="BG36" s="268">
        <f>(BG4/90)*BG97</f>
        <v>2806298.4289400992</v>
      </c>
      <c r="BH36" s="268">
        <f>(BH4/90)*BH97</f>
        <v>2058428.7158186592</v>
      </c>
      <c r="BI36" s="269">
        <f t="shared" si="93"/>
        <v>2058428.7158186592</v>
      </c>
    </row>
    <row r="37" spans="1:61">
      <c r="A37" s="214" t="s">
        <v>14</v>
      </c>
      <c r="C37" s="747">
        <v>60762</v>
      </c>
      <c r="D37" s="748">
        <v>71345</v>
      </c>
      <c r="E37" s="748">
        <v>59389</v>
      </c>
      <c r="F37" s="748">
        <v>68637</v>
      </c>
      <c r="G37" s="749">
        <v>68637</v>
      </c>
      <c r="I37" s="747">
        <v>50833</v>
      </c>
      <c r="J37" s="748">
        <v>54257</v>
      </c>
      <c r="K37" s="748">
        <v>49526</v>
      </c>
      <c r="L37" s="748">
        <v>77447</v>
      </c>
      <c r="M37" s="749">
        <v>77447</v>
      </c>
      <c r="O37" s="747">
        <v>54647</v>
      </c>
      <c r="P37" s="748">
        <v>45164</v>
      </c>
      <c r="Q37" s="748">
        <v>64626</v>
      </c>
      <c r="R37" s="748">
        <v>76436</v>
      </c>
      <c r="S37" s="749">
        <v>76436</v>
      </c>
      <c r="U37" s="747">
        <v>96835</v>
      </c>
      <c r="V37" s="748">
        <v>137304</v>
      </c>
      <c r="W37" s="748">
        <v>167309</v>
      </c>
      <c r="X37" s="748">
        <v>255075</v>
      </c>
      <c r="Y37" s="749">
        <v>255075</v>
      </c>
      <c r="AA37" s="747">
        <v>223070</v>
      </c>
      <c r="AB37" s="748">
        <v>228191</v>
      </c>
      <c r="AC37" s="748">
        <v>268694</v>
      </c>
      <c r="AD37" s="748">
        <v>234966</v>
      </c>
      <c r="AE37" s="749">
        <v>234966</v>
      </c>
      <c r="AG37" s="747">
        <v>144605</v>
      </c>
      <c r="AH37" s="755">
        <v>245893</v>
      </c>
      <c r="AI37" s="243">
        <v>245893</v>
      </c>
      <c r="AJ37" s="243">
        <v>245893</v>
      </c>
      <c r="AK37" s="269">
        <f t="shared" si="85"/>
        <v>245893</v>
      </c>
      <c r="AM37" s="242">
        <v>245893</v>
      </c>
      <c r="AN37" s="243">
        <v>245893</v>
      </c>
      <c r="AO37" s="243">
        <v>245893</v>
      </c>
      <c r="AP37" s="243">
        <v>245893</v>
      </c>
      <c r="AQ37" s="269">
        <f t="shared" si="87"/>
        <v>245893</v>
      </c>
      <c r="AS37" s="242">
        <v>245893</v>
      </c>
      <c r="AT37" s="243">
        <v>245893</v>
      </c>
      <c r="AU37" s="243">
        <v>245893</v>
      </c>
      <c r="AV37" s="243">
        <v>245893</v>
      </c>
      <c r="AW37" s="269">
        <f t="shared" si="89"/>
        <v>245893</v>
      </c>
      <c r="AY37" s="242">
        <v>245893</v>
      </c>
      <c r="AZ37" s="243">
        <v>245893</v>
      </c>
      <c r="BA37" s="243">
        <v>245893</v>
      </c>
      <c r="BB37" s="243">
        <v>245893</v>
      </c>
      <c r="BC37" s="269">
        <f t="shared" si="91"/>
        <v>245893</v>
      </c>
      <c r="BE37" s="242">
        <v>245893</v>
      </c>
      <c r="BF37" s="243">
        <v>245893</v>
      </c>
      <c r="BG37" s="243">
        <v>245893</v>
      </c>
      <c r="BH37" s="243">
        <v>245893</v>
      </c>
      <c r="BI37" s="269">
        <f t="shared" si="93"/>
        <v>245893</v>
      </c>
    </row>
    <row r="38" spans="1:61">
      <c r="A38" s="214" t="s">
        <v>15</v>
      </c>
      <c r="C38" s="747">
        <v>678790</v>
      </c>
      <c r="D38" s="748">
        <v>782757</v>
      </c>
      <c r="E38" s="748">
        <v>679471</v>
      </c>
      <c r="F38" s="748">
        <v>596896</v>
      </c>
      <c r="G38" s="749">
        <v>596896</v>
      </c>
      <c r="I38" s="747">
        <v>635499</v>
      </c>
      <c r="J38" s="748">
        <v>617527</v>
      </c>
      <c r="K38" s="748">
        <v>581543</v>
      </c>
      <c r="L38" s="748">
        <v>561255</v>
      </c>
      <c r="M38" s="749">
        <v>561255</v>
      </c>
      <c r="O38" s="747">
        <v>640048</v>
      </c>
      <c r="P38" s="748">
        <v>615142</v>
      </c>
      <c r="Q38" s="748">
        <v>751149</v>
      </c>
      <c r="R38" s="748">
        <v>784527</v>
      </c>
      <c r="S38" s="749">
        <v>784527</v>
      </c>
      <c r="U38" s="747">
        <v>1585612</v>
      </c>
      <c r="V38" s="748">
        <v>2074448</v>
      </c>
      <c r="W38" s="748">
        <v>1616553</v>
      </c>
      <c r="X38" s="748">
        <v>1626244</v>
      </c>
      <c r="Y38" s="749">
        <v>1626244</v>
      </c>
      <c r="AA38" s="747">
        <v>2188056</v>
      </c>
      <c r="AB38" s="748">
        <v>2065349</v>
      </c>
      <c r="AC38" s="748">
        <v>1758881</v>
      </c>
      <c r="AD38" s="748">
        <v>1426196</v>
      </c>
      <c r="AE38" s="749">
        <v>1426196</v>
      </c>
      <c r="AG38" s="747">
        <v>1336163</v>
      </c>
      <c r="AH38" s="755">
        <v>1362250</v>
      </c>
      <c r="AI38" s="268">
        <f>(AI5/90)*AI98</f>
        <v>1355910.7604004017</v>
      </c>
      <c r="AJ38" s="268">
        <f>(AJ5/90)*AJ98</f>
        <v>1197171.6326394093</v>
      </c>
      <c r="AK38" s="269">
        <f t="shared" si="85"/>
        <v>1197171.6326394093</v>
      </c>
      <c r="AM38" s="267">
        <f>(AM5/90)*AM98</f>
        <v>1412455.0113676887</v>
      </c>
      <c r="AN38" s="268">
        <f>(AN5/90)*AN98</f>
        <v>1512292.6839678779</v>
      </c>
      <c r="AO38" s="268">
        <f>(AO5/90)*AO98</f>
        <v>1731256.1600181249</v>
      </c>
      <c r="AP38" s="268">
        <f>(AP5/90)*AP98</f>
        <v>1334616.3775375874</v>
      </c>
      <c r="AQ38" s="269">
        <f t="shared" si="87"/>
        <v>1334616.3775375874</v>
      </c>
      <c r="AS38" s="267">
        <f>(AS5/90)*AS98</f>
        <v>1502638.0377198791</v>
      </c>
      <c r="AT38" s="268">
        <f>(AT5/90)*AT98</f>
        <v>1834695.3408575722</v>
      </c>
      <c r="AU38" s="268">
        <f>(AU5/90)*AU98</f>
        <v>2038475.573626491</v>
      </c>
      <c r="AV38" s="268">
        <f>(AV5/90)*AV98</f>
        <v>1663659.6684883011</v>
      </c>
      <c r="AW38" s="269">
        <f t="shared" si="89"/>
        <v>1663659.6684883011</v>
      </c>
      <c r="AY38" s="267">
        <f>(AY5/90)*AY98</f>
        <v>1600979.1038767328</v>
      </c>
      <c r="AZ38" s="268">
        <f>(AZ5/90)*AZ98</f>
        <v>1822070.2148423181</v>
      </c>
      <c r="BA38" s="268">
        <f>(BA5/90)*BA98</f>
        <v>2150701.5130685773</v>
      </c>
      <c r="BB38" s="268">
        <f>(BB5/90)*BB98</f>
        <v>1746358.4740768338</v>
      </c>
      <c r="BC38" s="269">
        <f t="shared" si="91"/>
        <v>1746358.4740768338</v>
      </c>
      <c r="BE38" s="267">
        <f>(BE5/90)*BE98</f>
        <v>1620616.4260414785</v>
      </c>
      <c r="BF38" s="268">
        <f>(BF5/90)*BF98</f>
        <v>2070025.0003943259</v>
      </c>
      <c r="BG38" s="268">
        <f>(BG5/90)*BG98</f>
        <v>2255165.7918623695</v>
      </c>
      <c r="BH38" s="268">
        <f>(BH5/90)*BH98</f>
        <v>1854095.6789059562</v>
      </c>
      <c r="BI38" s="269">
        <f t="shared" si="93"/>
        <v>1854095.6789059562</v>
      </c>
    </row>
    <row r="39" spans="1:61">
      <c r="A39" s="214" t="s">
        <v>80</v>
      </c>
      <c r="C39" s="747">
        <v>0</v>
      </c>
      <c r="D39" s="748">
        <v>0</v>
      </c>
      <c r="E39" s="748">
        <v>0</v>
      </c>
      <c r="F39" s="748">
        <v>0</v>
      </c>
      <c r="G39" s="749">
        <v>0</v>
      </c>
      <c r="I39" s="747">
        <v>0</v>
      </c>
      <c r="J39" s="748">
        <v>0</v>
      </c>
      <c r="K39" s="748">
        <v>0</v>
      </c>
      <c r="L39" s="748">
        <v>0</v>
      </c>
      <c r="M39" s="749">
        <v>0</v>
      </c>
      <c r="O39" s="747">
        <v>0</v>
      </c>
      <c r="P39" s="748">
        <v>0</v>
      </c>
      <c r="Q39" s="748">
        <v>0</v>
      </c>
      <c r="R39" s="748">
        <v>0</v>
      </c>
      <c r="S39" s="749">
        <v>0</v>
      </c>
      <c r="U39" s="747">
        <v>0</v>
      </c>
      <c r="V39" s="748">
        <v>0</v>
      </c>
      <c r="W39" s="748">
        <v>0</v>
      </c>
      <c r="X39" s="748">
        <v>207587</v>
      </c>
      <c r="Y39" s="749">
        <v>207587</v>
      </c>
      <c r="AA39" s="747">
        <v>240668</v>
      </c>
      <c r="AB39" s="748">
        <v>270714</v>
      </c>
      <c r="AC39" s="748">
        <v>240346</v>
      </c>
      <c r="AD39" s="748">
        <v>183700</v>
      </c>
      <c r="AE39" s="749">
        <v>183700</v>
      </c>
      <c r="AG39" s="747">
        <v>176116</v>
      </c>
      <c r="AH39" s="755">
        <v>190514</v>
      </c>
      <c r="AI39" s="243">
        <v>190514</v>
      </c>
      <c r="AJ39" s="243">
        <v>190514</v>
      </c>
      <c r="AK39" s="269">
        <f t="shared" si="85"/>
        <v>190514</v>
      </c>
      <c r="AM39" s="242">
        <v>190514</v>
      </c>
      <c r="AN39" s="243">
        <v>190514</v>
      </c>
      <c r="AO39" s="243">
        <v>190514</v>
      </c>
      <c r="AP39" s="243">
        <v>190514</v>
      </c>
      <c r="AQ39" s="269">
        <f t="shared" si="87"/>
        <v>190514</v>
      </c>
      <c r="AS39" s="242">
        <v>190514</v>
      </c>
      <c r="AT39" s="243">
        <v>190514</v>
      </c>
      <c r="AU39" s="243">
        <v>190514</v>
      </c>
      <c r="AV39" s="243">
        <v>190514</v>
      </c>
      <c r="AW39" s="269">
        <f t="shared" si="89"/>
        <v>190514</v>
      </c>
      <c r="AY39" s="242">
        <v>190514</v>
      </c>
      <c r="AZ39" s="243">
        <v>190514</v>
      </c>
      <c r="BA39" s="243">
        <v>190514</v>
      </c>
      <c r="BB39" s="243">
        <v>190514</v>
      </c>
      <c r="BC39" s="269">
        <f t="shared" si="91"/>
        <v>190514</v>
      </c>
      <c r="BE39" s="242">
        <v>190514</v>
      </c>
      <c r="BF39" s="243">
        <v>190514</v>
      </c>
      <c r="BG39" s="243">
        <v>190514</v>
      </c>
      <c r="BH39" s="243">
        <v>190514</v>
      </c>
      <c r="BI39" s="269">
        <f t="shared" si="93"/>
        <v>190514</v>
      </c>
    </row>
    <row r="40" spans="1:61">
      <c r="A40" s="214" t="s">
        <v>16</v>
      </c>
      <c r="C40" s="747">
        <v>43046</v>
      </c>
      <c r="D40" s="748">
        <v>39258</v>
      </c>
      <c r="E40" s="748">
        <v>35351</v>
      </c>
      <c r="F40" s="748">
        <v>43921</v>
      </c>
      <c r="G40" s="749">
        <v>43921</v>
      </c>
      <c r="I40" s="747">
        <v>38756</v>
      </c>
      <c r="J40" s="748">
        <v>36217</v>
      </c>
      <c r="K40" s="748">
        <v>34603</v>
      </c>
      <c r="L40" s="748">
        <v>39123</v>
      </c>
      <c r="M40" s="749">
        <v>39123</v>
      </c>
      <c r="O40" s="747">
        <v>44122</v>
      </c>
      <c r="P40" s="748">
        <v>36136</v>
      </c>
      <c r="Q40" s="748">
        <v>44198</v>
      </c>
      <c r="R40" s="748">
        <v>58895</v>
      </c>
      <c r="S40" s="749">
        <v>58895</v>
      </c>
      <c r="U40" s="747">
        <v>119453</v>
      </c>
      <c r="V40" s="748">
        <v>438383</v>
      </c>
      <c r="W40" s="748">
        <v>88368</v>
      </c>
      <c r="X40" s="748">
        <v>127964</v>
      </c>
      <c r="Y40" s="749">
        <v>127964</v>
      </c>
      <c r="AA40" s="747">
        <v>155824</v>
      </c>
      <c r="AB40" s="748">
        <v>139036</v>
      </c>
      <c r="AC40" s="748">
        <v>142316</v>
      </c>
      <c r="AD40" s="748">
        <v>124201</v>
      </c>
      <c r="AE40" s="749">
        <v>124201</v>
      </c>
      <c r="AG40" s="747">
        <v>116059</v>
      </c>
      <c r="AH40" s="755">
        <v>98578</v>
      </c>
      <c r="AI40" s="243">
        <v>98578</v>
      </c>
      <c r="AJ40" s="243">
        <v>98578</v>
      </c>
      <c r="AK40" s="269">
        <f t="shared" si="85"/>
        <v>98578</v>
      </c>
      <c r="AM40" s="242">
        <v>98578</v>
      </c>
      <c r="AN40" s="243">
        <v>98578</v>
      </c>
      <c r="AO40" s="243">
        <v>98578</v>
      </c>
      <c r="AP40" s="243">
        <v>98578</v>
      </c>
      <c r="AQ40" s="269">
        <f t="shared" si="87"/>
        <v>98578</v>
      </c>
      <c r="AS40" s="242">
        <v>98578</v>
      </c>
      <c r="AT40" s="243">
        <v>98578</v>
      </c>
      <c r="AU40" s="243">
        <v>98578</v>
      </c>
      <c r="AV40" s="243">
        <v>98578</v>
      </c>
      <c r="AW40" s="269">
        <f t="shared" si="89"/>
        <v>98578</v>
      </c>
      <c r="AY40" s="242">
        <v>98578</v>
      </c>
      <c r="AZ40" s="243">
        <v>98578</v>
      </c>
      <c r="BA40" s="243">
        <v>98578</v>
      </c>
      <c r="BB40" s="243">
        <v>98578</v>
      </c>
      <c r="BC40" s="269">
        <f t="shared" si="91"/>
        <v>98578</v>
      </c>
      <c r="BE40" s="242">
        <v>98578</v>
      </c>
      <c r="BF40" s="243">
        <v>98578</v>
      </c>
      <c r="BG40" s="243">
        <v>98578</v>
      </c>
      <c r="BH40" s="243">
        <v>98578</v>
      </c>
      <c r="BI40" s="269">
        <f t="shared" si="93"/>
        <v>98578</v>
      </c>
    </row>
    <row r="41" spans="1:61">
      <c r="A41" s="336" t="s">
        <v>17</v>
      </c>
      <c r="C41" s="337">
        <f>SUM(C35:C40)</f>
        <v>1503115</v>
      </c>
      <c r="D41" s="338">
        <f t="shared" ref="D41:BH41" si="94">SUM(D35:D40)</f>
        <v>1726952</v>
      </c>
      <c r="E41" s="338">
        <f t="shared" si="94"/>
        <v>1613974</v>
      </c>
      <c r="F41" s="338">
        <f t="shared" si="94"/>
        <v>1373751</v>
      </c>
      <c r="G41" s="339">
        <f t="shared" si="94"/>
        <v>1373751</v>
      </c>
      <c r="I41" s="337">
        <f t="shared" si="94"/>
        <v>1385754</v>
      </c>
      <c r="J41" s="338">
        <f t="shared" si="94"/>
        <v>1433958</v>
      </c>
      <c r="K41" s="338">
        <f t="shared" si="94"/>
        <v>1430077</v>
      </c>
      <c r="L41" s="338">
        <f t="shared" si="94"/>
        <v>1306867</v>
      </c>
      <c r="M41" s="339">
        <f t="shared" si="94"/>
        <v>1306867</v>
      </c>
      <c r="O41" s="337">
        <f t="shared" si="94"/>
        <v>1604881</v>
      </c>
      <c r="P41" s="338">
        <f t="shared" si="94"/>
        <v>1801587</v>
      </c>
      <c r="Q41" s="338">
        <f t="shared" si="94"/>
        <v>2061742</v>
      </c>
      <c r="R41" s="338">
        <f t="shared" si="94"/>
        <v>2223682</v>
      </c>
      <c r="S41" s="339">
        <f t="shared" si="94"/>
        <v>2223682</v>
      </c>
      <c r="U41" s="337">
        <f t="shared" si="94"/>
        <v>3570668</v>
      </c>
      <c r="V41" s="338">
        <f t="shared" si="94"/>
        <v>4915075</v>
      </c>
      <c r="W41" s="338">
        <f t="shared" si="94"/>
        <v>4231234</v>
      </c>
      <c r="X41" s="338">
        <f t="shared" si="94"/>
        <v>3968269</v>
      </c>
      <c r="Y41" s="339">
        <f t="shared" si="94"/>
        <v>3968269</v>
      </c>
      <c r="AA41" s="337">
        <f t="shared" si="94"/>
        <v>5379933</v>
      </c>
      <c r="AB41" s="338">
        <f t="shared" si="94"/>
        <v>5277316</v>
      </c>
      <c r="AC41" s="338">
        <f t="shared" si="94"/>
        <v>4420131</v>
      </c>
      <c r="AD41" s="338">
        <f t="shared" si="94"/>
        <v>3497647</v>
      </c>
      <c r="AE41" s="339">
        <f t="shared" si="94"/>
        <v>3497647</v>
      </c>
      <c r="AG41" s="337">
        <f t="shared" si="94"/>
        <v>3347289</v>
      </c>
      <c r="AH41" s="344">
        <f t="shared" si="94"/>
        <v>3605217</v>
      </c>
      <c r="AI41" s="338">
        <f t="shared" si="94"/>
        <v>4033577.3365117675</v>
      </c>
      <c r="AJ41" s="338">
        <f>SUM(AJ35:AJ40)</f>
        <v>4135317.911262407</v>
      </c>
      <c r="AK41" s="350">
        <f t="shared" si="85"/>
        <v>4135317.911262407</v>
      </c>
      <c r="AM41" s="337">
        <f t="shared" si="94"/>
        <v>4615428.2406601775</v>
      </c>
      <c r="AN41" s="338">
        <f t="shared" si="94"/>
        <v>5023157.0827478068</v>
      </c>
      <c r="AO41" s="338">
        <f t="shared" si="94"/>
        <v>5601805.7676375723</v>
      </c>
      <c r="AP41" s="338">
        <f t="shared" si="94"/>
        <v>5449918.0787269501</v>
      </c>
      <c r="AQ41" s="350">
        <f t="shared" si="87"/>
        <v>5449918.0787269501</v>
      </c>
      <c r="AS41" s="337">
        <f t="shared" si="94"/>
        <v>5961872.0842565661</v>
      </c>
      <c r="AT41" s="338">
        <f t="shared" si="94"/>
        <v>6570665.9136690591</v>
      </c>
      <c r="AU41" s="338">
        <f t="shared" si="94"/>
        <v>7258438.5444359416</v>
      </c>
      <c r="AV41" s="338">
        <f t="shared" si="94"/>
        <v>7271329.1916367086</v>
      </c>
      <c r="AW41" s="350">
        <f t="shared" si="89"/>
        <v>7271329.1916367086</v>
      </c>
      <c r="AY41" s="337">
        <f t="shared" si="94"/>
        <v>7711843.0866402369</v>
      </c>
      <c r="AZ41" s="338">
        <f t="shared" si="94"/>
        <v>8430471.7831430901</v>
      </c>
      <c r="BA41" s="338">
        <f t="shared" si="94"/>
        <v>9410964.3076511659</v>
      </c>
      <c r="BB41" s="338">
        <f t="shared" si="94"/>
        <v>9491635.9459803589</v>
      </c>
      <c r="BC41" s="350">
        <f t="shared" si="91"/>
        <v>9491635.9459803589</v>
      </c>
      <c r="BE41" s="337">
        <f t="shared" si="94"/>
        <v>9967801.8458898421</v>
      </c>
      <c r="BF41" s="338">
        <f t="shared" si="94"/>
        <v>11055823.412709722</v>
      </c>
      <c r="BG41" s="338">
        <f t="shared" si="94"/>
        <v>11998520.039177176</v>
      </c>
      <c r="BH41" s="338">
        <f t="shared" si="94"/>
        <v>12098106.216951523</v>
      </c>
      <c r="BI41" s="350">
        <f t="shared" si="93"/>
        <v>12098106.216951523</v>
      </c>
    </row>
    <row r="42" spans="1:61">
      <c r="A42" s="214" t="s">
        <v>18</v>
      </c>
      <c r="C42" s="747">
        <v>643721</v>
      </c>
      <c r="D42" s="748">
        <v>655572</v>
      </c>
      <c r="E42" s="748">
        <v>665732</v>
      </c>
      <c r="F42" s="748">
        <v>670075</v>
      </c>
      <c r="G42" s="749">
        <v>670075</v>
      </c>
      <c r="I42" s="747">
        <v>669055</v>
      </c>
      <c r="J42" s="748">
        <v>675310</v>
      </c>
      <c r="K42" s="748">
        <v>696154</v>
      </c>
      <c r="L42" s="748">
        <v>721887</v>
      </c>
      <c r="M42" s="749">
        <v>721887</v>
      </c>
      <c r="O42" s="747">
        <v>730738</v>
      </c>
      <c r="P42" s="748">
        <v>743542</v>
      </c>
      <c r="Q42" s="748">
        <v>750841</v>
      </c>
      <c r="R42" s="748">
        <v>749130</v>
      </c>
      <c r="S42" s="749">
        <v>749130</v>
      </c>
      <c r="U42" s="747">
        <v>1297756</v>
      </c>
      <c r="V42" s="748">
        <v>1300680</v>
      </c>
      <c r="W42" s="748">
        <v>1336890</v>
      </c>
      <c r="X42" s="748">
        <v>1385441</v>
      </c>
      <c r="Y42" s="749">
        <v>1385441</v>
      </c>
      <c r="AA42" s="747">
        <v>1385998</v>
      </c>
      <c r="AB42" s="748">
        <v>1420722</v>
      </c>
      <c r="AC42" s="748">
        <v>1491622</v>
      </c>
      <c r="AD42" s="748">
        <v>1567631</v>
      </c>
      <c r="AE42" s="749">
        <v>1567631</v>
      </c>
      <c r="AG42" s="747">
        <v>1605575</v>
      </c>
      <c r="AH42" s="755">
        <v>1676244</v>
      </c>
      <c r="AI42" s="268">
        <f>AI110</f>
        <v>1654583.7902840143</v>
      </c>
      <c r="AJ42" s="268">
        <f>AJ110</f>
        <v>1672812.8677658164</v>
      </c>
      <c r="AK42" s="269">
        <f t="shared" si="85"/>
        <v>1672812.8677658164</v>
      </c>
      <c r="AM42" s="267">
        <f>AM110</f>
        <v>1664668.1477607102</v>
      </c>
      <c r="AN42" s="268">
        <f>AN110</f>
        <v>1634357.1806212324</v>
      </c>
      <c r="AO42" s="268">
        <f>AO110</f>
        <v>1596937.947718597</v>
      </c>
      <c r="AP42" s="268">
        <f>AP110</f>
        <v>1637430.0658009017</v>
      </c>
      <c r="AQ42" s="269">
        <f t="shared" si="87"/>
        <v>1637430.0658009017</v>
      </c>
      <c r="AS42" s="267">
        <f>AS110</f>
        <v>1658869.5528425847</v>
      </c>
      <c r="AT42" s="268">
        <f>AT110</f>
        <v>1669658.6880169557</v>
      </c>
      <c r="AU42" s="268">
        <f>AU110</f>
        <v>1683384.1999629317</v>
      </c>
      <c r="AV42" s="268">
        <f>AV110</f>
        <v>1758419.7904344841</v>
      </c>
      <c r="AW42" s="269">
        <f t="shared" si="89"/>
        <v>1758419.7904344841</v>
      </c>
      <c r="AY42" s="267">
        <f>AY110</f>
        <v>1772841.7945719869</v>
      </c>
      <c r="AZ42" s="268">
        <f>AZ110</f>
        <v>1770649.2054848487</v>
      </c>
      <c r="BA42" s="268">
        <f>BA110</f>
        <v>1774541.2622522807</v>
      </c>
      <c r="BB42" s="268">
        <f>BB110</f>
        <v>1841147.5540886901</v>
      </c>
      <c r="BC42" s="269">
        <f t="shared" si="91"/>
        <v>1841147.5540886901</v>
      </c>
      <c r="BE42" s="267">
        <f>BE110</f>
        <v>1848202.4918116929</v>
      </c>
      <c r="BF42" s="268">
        <f>BF110</f>
        <v>1824100.0286097007</v>
      </c>
      <c r="BG42" s="268">
        <f>BG110</f>
        <v>1822794.8817851911</v>
      </c>
      <c r="BH42" s="268">
        <f>BH110</f>
        <v>1878114.4060487594</v>
      </c>
      <c r="BI42" s="269">
        <f t="shared" si="93"/>
        <v>1878114.4060487594</v>
      </c>
    </row>
    <row r="43" spans="1:61">
      <c r="A43" s="214" t="s">
        <v>19</v>
      </c>
      <c r="C43" s="747">
        <v>5273</v>
      </c>
      <c r="D43" s="748">
        <v>8153</v>
      </c>
      <c r="E43" s="748">
        <v>7874</v>
      </c>
      <c r="F43" s="748">
        <v>0</v>
      </c>
      <c r="G43" s="749">
        <v>0</v>
      </c>
      <c r="I43" s="747">
        <v>0</v>
      </c>
      <c r="J43" s="748">
        <v>0</v>
      </c>
      <c r="K43" s="748">
        <v>0</v>
      </c>
      <c r="L43" s="748">
        <v>0</v>
      </c>
      <c r="M43" s="749">
        <v>0</v>
      </c>
      <c r="O43" s="747">
        <v>0</v>
      </c>
      <c r="P43" s="748">
        <v>0</v>
      </c>
      <c r="Q43" s="748">
        <v>0</v>
      </c>
      <c r="R43" s="748">
        <v>0</v>
      </c>
      <c r="S43" s="749">
        <v>0</v>
      </c>
      <c r="U43" s="747">
        <v>0</v>
      </c>
      <c r="V43" s="748">
        <v>0</v>
      </c>
      <c r="W43" s="748">
        <v>0</v>
      </c>
      <c r="X43" s="748">
        <v>0</v>
      </c>
      <c r="Y43" s="749">
        <v>0</v>
      </c>
      <c r="AA43" s="747">
        <v>0</v>
      </c>
      <c r="AB43" s="748">
        <v>0</v>
      </c>
      <c r="AC43" s="748">
        <v>0</v>
      </c>
      <c r="AD43" s="748">
        <v>0</v>
      </c>
      <c r="AE43" s="749">
        <v>0</v>
      </c>
      <c r="AG43" s="747">
        <v>0</v>
      </c>
      <c r="AH43" s="755">
        <v>0</v>
      </c>
      <c r="AI43" s="243">
        <v>0</v>
      </c>
      <c r="AJ43" s="243">
        <v>0</v>
      </c>
      <c r="AK43" s="269">
        <f t="shared" si="85"/>
        <v>0</v>
      </c>
      <c r="AM43" s="242">
        <v>0</v>
      </c>
      <c r="AN43" s="243">
        <v>0</v>
      </c>
      <c r="AO43" s="243">
        <v>0</v>
      </c>
      <c r="AP43" s="243">
        <v>0</v>
      </c>
      <c r="AQ43" s="269">
        <f t="shared" si="87"/>
        <v>0</v>
      </c>
      <c r="AS43" s="242">
        <v>0</v>
      </c>
      <c r="AT43" s="243">
        <v>0</v>
      </c>
      <c r="AU43" s="243">
        <v>0</v>
      </c>
      <c r="AV43" s="243">
        <v>0</v>
      </c>
      <c r="AW43" s="269">
        <f t="shared" si="89"/>
        <v>0</v>
      </c>
      <c r="AY43" s="242">
        <v>0</v>
      </c>
      <c r="AZ43" s="243">
        <v>0</v>
      </c>
      <c r="BA43" s="243">
        <v>0</v>
      </c>
      <c r="BB43" s="243">
        <v>0</v>
      </c>
      <c r="BC43" s="269">
        <f t="shared" si="91"/>
        <v>0</v>
      </c>
      <c r="BE43" s="242">
        <v>0</v>
      </c>
      <c r="BF43" s="243">
        <v>0</v>
      </c>
      <c r="BG43" s="243">
        <v>0</v>
      </c>
      <c r="BH43" s="243">
        <v>0</v>
      </c>
      <c r="BI43" s="269">
        <f t="shared" si="93"/>
        <v>0</v>
      </c>
    </row>
    <row r="44" spans="1:61">
      <c r="A44" s="214" t="s">
        <v>52</v>
      </c>
      <c r="C44" s="747">
        <v>0</v>
      </c>
      <c r="D44" s="748">
        <v>0</v>
      </c>
      <c r="E44" s="748">
        <v>0</v>
      </c>
      <c r="F44" s="748">
        <v>0</v>
      </c>
      <c r="G44" s="749">
        <v>0</v>
      </c>
      <c r="I44" s="747">
        <v>269640</v>
      </c>
      <c r="J44" s="748">
        <v>273971</v>
      </c>
      <c r="K44" s="748">
        <v>286971</v>
      </c>
      <c r="L44" s="748">
        <v>292684</v>
      </c>
      <c r="M44" s="749">
        <v>292684</v>
      </c>
      <c r="O44" s="747">
        <v>285964</v>
      </c>
      <c r="P44" s="748">
        <v>286354</v>
      </c>
      <c r="Q44" s="748">
        <v>278075</v>
      </c>
      <c r="R44" s="748">
        <v>274562</v>
      </c>
      <c r="S44" s="749">
        <v>274562</v>
      </c>
      <c r="U44" s="747">
        <v>442440</v>
      </c>
      <c r="V44" s="748">
        <v>429940</v>
      </c>
      <c r="W44" s="748">
        <v>444073</v>
      </c>
      <c r="X44" s="748">
        <v>457833</v>
      </c>
      <c r="Y44" s="749">
        <v>457833</v>
      </c>
      <c r="AA44" s="747">
        <v>446876</v>
      </c>
      <c r="AB44" s="748">
        <v>483545</v>
      </c>
      <c r="AC44" s="748">
        <v>500031</v>
      </c>
      <c r="AD44" s="748">
        <v>485704</v>
      </c>
      <c r="AE44" s="749">
        <v>485704</v>
      </c>
      <c r="AG44" s="747">
        <v>484710</v>
      </c>
      <c r="AH44" s="755">
        <v>483991</v>
      </c>
      <c r="AI44" s="243">
        <f t="shared" ref="AI44:AI48" si="95">AH44</f>
        <v>483991</v>
      </c>
      <c r="AJ44" s="243">
        <f>AI44</f>
        <v>483991</v>
      </c>
      <c r="AK44" s="269">
        <f t="shared" si="85"/>
        <v>483991</v>
      </c>
      <c r="AM44" s="242">
        <f>AK44</f>
        <v>483991</v>
      </c>
      <c r="AN44" s="243">
        <f t="shared" ref="AN44:AP44" si="96">AM44</f>
        <v>483991</v>
      </c>
      <c r="AO44" s="243">
        <f t="shared" si="96"/>
        <v>483991</v>
      </c>
      <c r="AP44" s="243">
        <f t="shared" si="96"/>
        <v>483991</v>
      </c>
      <c r="AQ44" s="269">
        <f t="shared" si="87"/>
        <v>483991</v>
      </c>
      <c r="AS44" s="242">
        <f>AQ44</f>
        <v>483991</v>
      </c>
      <c r="AT44" s="243">
        <f t="shared" ref="AT44:AV45" si="97">AS44</f>
        <v>483991</v>
      </c>
      <c r="AU44" s="243">
        <f t="shared" si="97"/>
        <v>483991</v>
      </c>
      <c r="AV44" s="243">
        <f t="shared" si="97"/>
        <v>483991</v>
      </c>
      <c r="AW44" s="269">
        <f t="shared" si="89"/>
        <v>483991</v>
      </c>
      <c r="AY44" s="242">
        <f>AW44</f>
        <v>483991</v>
      </c>
      <c r="AZ44" s="243">
        <f t="shared" ref="AZ44:BH45" si="98">AY44</f>
        <v>483991</v>
      </c>
      <c r="BA44" s="243">
        <f t="shared" si="98"/>
        <v>483991</v>
      </c>
      <c r="BB44" s="243">
        <f t="shared" si="98"/>
        <v>483991</v>
      </c>
      <c r="BC44" s="269">
        <f t="shared" si="91"/>
        <v>483991</v>
      </c>
      <c r="BE44" s="242">
        <f>BC44</f>
        <v>483991</v>
      </c>
      <c r="BF44" s="243">
        <f t="shared" si="98"/>
        <v>483991</v>
      </c>
      <c r="BG44" s="243">
        <f t="shared" si="98"/>
        <v>483991</v>
      </c>
      <c r="BH44" s="243">
        <f t="shared" si="98"/>
        <v>483991</v>
      </c>
      <c r="BI44" s="269">
        <f t="shared" si="93"/>
        <v>483991</v>
      </c>
    </row>
    <row r="45" spans="1:61">
      <c r="A45" s="214" t="s">
        <v>20</v>
      </c>
      <c r="C45" s="747">
        <v>740411</v>
      </c>
      <c r="D45" s="748">
        <v>740411</v>
      </c>
      <c r="E45" s="748">
        <v>740411</v>
      </c>
      <c r="F45" s="748">
        <v>740411</v>
      </c>
      <c r="G45" s="749">
        <v>740411</v>
      </c>
      <c r="I45" s="747">
        <v>740411</v>
      </c>
      <c r="J45" s="748">
        <v>740411</v>
      </c>
      <c r="K45" s="748">
        <v>754765</v>
      </c>
      <c r="L45" s="748">
        <v>769022</v>
      </c>
      <c r="M45" s="749">
        <v>769022</v>
      </c>
      <c r="O45" s="747">
        <v>777283</v>
      </c>
      <c r="P45" s="748">
        <v>777283</v>
      </c>
      <c r="Q45" s="748">
        <v>777283</v>
      </c>
      <c r="R45" s="748">
        <v>785305</v>
      </c>
      <c r="S45" s="749">
        <v>785305</v>
      </c>
      <c r="U45" s="747">
        <v>2536909</v>
      </c>
      <c r="V45" s="748">
        <v>2535360</v>
      </c>
      <c r="W45" s="748">
        <v>3141594</v>
      </c>
      <c r="X45" s="748">
        <v>3270192</v>
      </c>
      <c r="Y45" s="749">
        <v>3270192</v>
      </c>
      <c r="AA45" s="747">
        <v>3270192</v>
      </c>
      <c r="AB45" s="748">
        <v>3336291</v>
      </c>
      <c r="AC45" s="748">
        <v>3453340</v>
      </c>
      <c r="AD45" s="748">
        <v>3456854</v>
      </c>
      <c r="AE45" s="749">
        <v>3456854</v>
      </c>
      <c r="AG45" s="747">
        <v>3495355</v>
      </c>
      <c r="AH45" s="755">
        <v>3499819</v>
      </c>
      <c r="AI45" s="243">
        <f t="shared" si="95"/>
        <v>3499819</v>
      </c>
      <c r="AJ45" s="243">
        <f>AI45</f>
        <v>3499819</v>
      </c>
      <c r="AK45" s="269">
        <f t="shared" si="85"/>
        <v>3499819</v>
      </c>
      <c r="AM45" s="242">
        <f>AK45</f>
        <v>3499819</v>
      </c>
      <c r="AN45" s="243">
        <f t="shared" ref="AN45:AP45" si="99">AM45</f>
        <v>3499819</v>
      </c>
      <c r="AO45" s="243">
        <f t="shared" si="99"/>
        <v>3499819</v>
      </c>
      <c r="AP45" s="243">
        <f t="shared" si="99"/>
        <v>3499819</v>
      </c>
      <c r="AQ45" s="269">
        <f t="shared" si="87"/>
        <v>3499819</v>
      </c>
      <c r="AS45" s="242">
        <f>AQ45</f>
        <v>3499819</v>
      </c>
      <c r="AT45" s="243">
        <f t="shared" si="97"/>
        <v>3499819</v>
      </c>
      <c r="AU45" s="243">
        <f t="shared" si="97"/>
        <v>3499819</v>
      </c>
      <c r="AV45" s="243">
        <f t="shared" si="97"/>
        <v>3499819</v>
      </c>
      <c r="AW45" s="269">
        <f t="shared" si="89"/>
        <v>3499819</v>
      </c>
      <c r="AY45" s="242">
        <f>AW45</f>
        <v>3499819</v>
      </c>
      <c r="AZ45" s="243">
        <f t="shared" si="98"/>
        <v>3499819</v>
      </c>
      <c r="BA45" s="243">
        <f t="shared" si="98"/>
        <v>3499819</v>
      </c>
      <c r="BB45" s="243">
        <f t="shared" si="98"/>
        <v>3499819</v>
      </c>
      <c r="BC45" s="269">
        <f t="shared" si="91"/>
        <v>3499819</v>
      </c>
      <c r="BE45" s="242">
        <f>BC45</f>
        <v>3499819</v>
      </c>
      <c r="BF45" s="243">
        <f t="shared" si="98"/>
        <v>3499819</v>
      </c>
      <c r="BG45" s="243">
        <f t="shared" si="98"/>
        <v>3499819</v>
      </c>
      <c r="BH45" s="243">
        <f t="shared" si="98"/>
        <v>3499819</v>
      </c>
      <c r="BI45" s="269">
        <f t="shared" si="93"/>
        <v>3499819</v>
      </c>
    </row>
    <row r="46" spans="1:61">
      <c r="A46" s="214" t="s">
        <v>21</v>
      </c>
      <c r="C46" s="747">
        <v>126360</v>
      </c>
      <c r="D46" s="748">
        <v>119424</v>
      </c>
      <c r="E46" s="748">
        <v>111266</v>
      </c>
      <c r="F46" s="748">
        <v>103154</v>
      </c>
      <c r="G46" s="749">
        <v>103154</v>
      </c>
      <c r="I46" s="747">
        <v>99286</v>
      </c>
      <c r="J46" s="748">
        <v>95417</v>
      </c>
      <c r="K46" s="748">
        <v>101303</v>
      </c>
      <c r="L46" s="748">
        <v>128388</v>
      </c>
      <c r="M46" s="749">
        <v>128388</v>
      </c>
      <c r="O46" s="747">
        <v>132165</v>
      </c>
      <c r="P46" s="748">
        <v>126519</v>
      </c>
      <c r="Q46" s="748">
        <v>121145</v>
      </c>
      <c r="R46" s="748">
        <v>119882</v>
      </c>
      <c r="S46" s="749">
        <v>119882</v>
      </c>
      <c r="U46" s="747">
        <v>1501250</v>
      </c>
      <c r="V46" s="748">
        <v>1422649</v>
      </c>
      <c r="W46" s="748">
        <v>1629363</v>
      </c>
      <c r="X46" s="748">
        <v>1603409</v>
      </c>
      <c r="Y46" s="749">
        <v>1603409</v>
      </c>
      <c r="AA46" s="747">
        <v>1537695</v>
      </c>
      <c r="AB46" s="748">
        <v>1534242</v>
      </c>
      <c r="AC46" s="748">
        <v>1637358</v>
      </c>
      <c r="AD46" s="748">
        <v>1550944</v>
      </c>
      <c r="AE46" s="749">
        <v>1550944</v>
      </c>
      <c r="AG46" s="747">
        <v>1493049</v>
      </c>
      <c r="AH46" s="755">
        <v>1412377</v>
      </c>
      <c r="AI46" s="243">
        <f t="shared" si="95"/>
        <v>1412377</v>
      </c>
      <c r="AJ46" s="243">
        <f>AI46</f>
        <v>1412377</v>
      </c>
      <c r="AK46" s="269">
        <f t="shared" si="85"/>
        <v>1412377</v>
      </c>
      <c r="AM46" s="242">
        <v>1412377</v>
      </c>
      <c r="AN46" s="243">
        <f>AM46</f>
        <v>1412377</v>
      </c>
      <c r="AO46" s="243">
        <f>AN46</f>
        <v>1412377</v>
      </c>
      <c r="AP46" s="243">
        <f>AO46</f>
        <v>1412377</v>
      </c>
      <c r="AQ46" s="269">
        <f t="shared" si="87"/>
        <v>1412377</v>
      </c>
      <c r="AS46" s="242">
        <v>1412377</v>
      </c>
      <c r="AT46" s="243">
        <f>AS46</f>
        <v>1412377</v>
      </c>
      <c r="AU46" s="243">
        <f>AT46</f>
        <v>1412377</v>
      </c>
      <c r="AV46" s="243">
        <f>AU46</f>
        <v>1412377</v>
      </c>
      <c r="AW46" s="269">
        <f t="shared" si="89"/>
        <v>1412377</v>
      </c>
      <c r="AY46" s="242">
        <v>1412377</v>
      </c>
      <c r="AZ46" s="243">
        <f>AY46</f>
        <v>1412377</v>
      </c>
      <c r="BA46" s="243">
        <f>AZ46</f>
        <v>1412377</v>
      </c>
      <c r="BB46" s="243">
        <f>BA46</f>
        <v>1412377</v>
      </c>
      <c r="BC46" s="269">
        <f t="shared" si="91"/>
        <v>1412377</v>
      </c>
      <c r="BE46" s="242">
        <v>1412377</v>
      </c>
      <c r="BF46" s="243">
        <f>BE46</f>
        <v>1412377</v>
      </c>
      <c r="BG46" s="243">
        <f>BF46</f>
        <v>1412377</v>
      </c>
      <c r="BH46" s="243">
        <f>BG46</f>
        <v>1412377</v>
      </c>
      <c r="BI46" s="269">
        <f t="shared" si="93"/>
        <v>1412377</v>
      </c>
    </row>
    <row r="47" spans="1:61">
      <c r="A47" s="214" t="s">
        <v>22</v>
      </c>
      <c r="C47" s="747">
        <v>73092</v>
      </c>
      <c r="D47" s="748">
        <v>55726</v>
      </c>
      <c r="E47" s="748">
        <v>38760</v>
      </c>
      <c r="F47" s="748">
        <v>22766</v>
      </c>
      <c r="G47" s="749">
        <v>22766</v>
      </c>
      <c r="I47" s="747">
        <v>13128</v>
      </c>
      <c r="J47" s="748">
        <v>7343</v>
      </c>
      <c r="K47" s="748">
        <v>5055</v>
      </c>
      <c r="L47" s="748">
        <v>8417</v>
      </c>
      <c r="M47" s="749">
        <v>8417</v>
      </c>
      <c r="O47" s="747">
        <v>8393</v>
      </c>
      <c r="P47" s="748">
        <v>7693</v>
      </c>
      <c r="Q47" s="748">
        <v>5977</v>
      </c>
      <c r="R47" s="748">
        <v>4653</v>
      </c>
      <c r="S47" s="749">
        <v>4653</v>
      </c>
      <c r="U47" s="747">
        <v>0</v>
      </c>
      <c r="V47" s="748">
        <v>0</v>
      </c>
      <c r="W47" s="748">
        <v>0</v>
      </c>
      <c r="X47" s="748">
        <v>0</v>
      </c>
      <c r="Y47" s="749">
        <v>0</v>
      </c>
      <c r="AA47" s="747">
        <v>0</v>
      </c>
      <c r="AB47" s="748">
        <v>0</v>
      </c>
      <c r="AC47" s="748">
        <v>0</v>
      </c>
      <c r="AD47" s="748">
        <v>0</v>
      </c>
      <c r="AE47" s="749">
        <v>0</v>
      </c>
      <c r="AG47" s="747">
        <v>0</v>
      </c>
      <c r="AH47" s="755">
        <v>0</v>
      </c>
      <c r="AI47" s="243">
        <f t="shared" si="95"/>
        <v>0</v>
      </c>
      <c r="AJ47" s="243">
        <f>AI47</f>
        <v>0</v>
      </c>
      <c r="AK47" s="269">
        <f t="shared" si="85"/>
        <v>0</v>
      </c>
      <c r="AM47" s="242">
        <v>0</v>
      </c>
      <c r="AN47" s="243">
        <v>0</v>
      </c>
      <c r="AO47" s="243">
        <f>AN47</f>
        <v>0</v>
      </c>
      <c r="AP47" s="243">
        <f>AO47</f>
        <v>0</v>
      </c>
      <c r="AQ47" s="269">
        <f t="shared" si="87"/>
        <v>0</v>
      </c>
      <c r="AS47" s="242">
        <v>0</v>
      </c>
      <c r="AT47" s="243">
        <v>0</v>
      </c>
      <c r="AU47" s="243">
        <f>AT47</f>
        <v>0</v>
      </c>
      <c r="AV47" s="243">
        <f>AU47</f>
        <v>0</v>
      </c>
      <c r="AW47" s="269">
        <f t="shared" si="89"/>
        <v>0</v>
      </c>
      <c r="AY47" s="242">
        <v>0</v>
      </c>
      <c r="AZ47" s="243">
        <v>0</v>
      </c>
      <c r="BA47" s="243">
        <f>AZ47</f>
        <v>0</v>
      </c>
      <c r="BB47" s="243">
        <f>BA47</f>
        <v>0</v>
      </c>
      <c r="BC47" s="269">
        <f t="shared" si="91"/>
        <v>0</v>
      </c>
      <c r="BE47" s="242">
        <v>0</v>
      </c>
      <c r="BF47" s="243">
        <v>0</v>
      </c>
      <c r="BG47" s="243">
        <f>BF47</f>
        <v>0</v>
      </c>
      <c r="BH47" s="243">
        <f>BG47</f>
        <v>0</v>
      </c>
      <c r="BI47" s="269">
        <f t="shared" si="93"/>
        <v>0</v>
      </c>
    </row>
    <row r="48" spans="1:61">
      <c r="A48" s="214" t="s">
        <v>23</v>
      </c>
      <c r="C48" s="747">
        <v>17717</v>
      </c>
      <c r="D48" s="748">
        <v>16614</v>
      </c>
      <c r="E48" s="748">
        <v>15568</v>
      </c>
      <c r="F48" s="748">
        <v>22152</v>
      </c>
      <c r="G48" s="749">
        <v>22152</v>
      </c>
      <c r="I48" s="747">
        <v>22191</v>
      </c>
      <c r="J48" s="748">
        <v>23561</v>
      </c>
      <c r="K48" s="748">
        <v>23434</v>
      </c>
      <c r="L48" s="748">
        <v>22225</v>
      </c>
      <c r="M48" s="749">
        <v>22225</v>
      </c>
      <c r="O48" s="747">
        <v>21934</v>
      </c>
      <c r="P48" s="748">
        <v>21700</v>
      </c>
      <c r="Q48" s="748">
        <v>19871</v>
      </c>
      <c r="R48" s="748">
        <v>16457</v>
      </c>
      <c r="S48" s="749">
        <v>16457</v>
      </c>
      <c r="U48" s="747">
        <v>30483</v>
      </c>
      <c r="V48" s="748">
        <v>22390</v>
      </c>
      <c r="W48" s="748">
        <v>25994</v>
      </c>
      <c r="X48" s="748">
        <v>29199</v>
      </c>
      <c r="Y48" s="749">
        <v>29199</v>
      </c>
      <c r="AA48" s="747">
        <v>30491</v>
      </c>
      <c r="AB48" s="748">
        <v>33786</v>
      </c>
      <c r="AC48" s="748">
        <v>35216</v>
      </c>
      <c r="AD48" s="748">
        <v>36380</v>
      </c>
      <c r="AE48" s="749">
        <v>36380</v>
      </c>
      <c r="AG48" s="747">
        <v>50938</v>
      </c>
      <c r="AH48" s="755">
        <v>55464</v>
      </c>
      <c r="AI48" s="243">
        <f t="shared" si="95"/>
        <v>55464</v>
      </c>
      <c r="AJ48" s="243">
        <f>AI48</f>
        <v>55464</v>
      </c>
      <c r="AK48" s="269">
        <f t="shared" si="85"/>
        <v>55464</v>
      </c>
      <c r="AM48" s="242">
        <f>AK48</f>
        <v>55464</v>
      </c>
      <c r="AN48" s="243">
        <f t="shared" ref="AN48:AP48" si="100">AM48</f>
        <v>55464</v>
      </c>
      <c r="AO48" s="243">
        <f t="shared" si="100"/>
        <v>55464</v>
      </c>
      <c r="AP48" s="243">
        <f t="shared" si="100"/>
        <v>55464</v>
      </c>
      <c r="AQ48" s="269">
        <f t="shared" si="87"/>
        <v>55464</v>
      </c>
      <c r="AS48" s="242">
        <f>AQ48</f>
        <v>55464</v>
      </c>
      <c r="AT48" s="243">
        <f t="shared" ref="AT48:AV48" si="101">AS48</f>
        <v>55464</v>
      </c>
      <c r="AU48" s="243">
        <f t="shared" si="101"/>
        <v>55464</v>
      </c>
      <c r="AV48" s="243">
        <f t="shared" si="101"/>
        <v>55464</v>
      </c>
      <c r="AW48" s="269">
        <f t="shared" si="89"/>
        <v>55464</v>
      </c>
      <c r="AY48" s="242">
        <f>AW48</f>
        <v>55464</v>
      </c>
      <c r="AZ48" s="243">
        <f t="shared" ref="AZ48:BB48" si="102">AY48</f>
        <v>55464</v>
      </c>
      <c r="BA48" s="243">
        <f t="shared" si="102"/>
        <v>55464</v>
      </c>
      <c r="BB48" s="243">
        <f t="shared" si="102"/>
        <v>55464</v>
      </c>
      <c r="BC48" s="269">
        <f t="shared" si="91"/>
        <v>55464</v>
      </c>
      <c r="BE48" s="242">
        <f>BC48</f>
        <v>55464</v>
      </c>
      <c r="BF48" s="243">
        <f t="shared" ref="BF48:BH48" si="103">BE48</f>
        <v>55464</v>
      </c>
      <c r="BG48" s="243">
        <f t="shared" si="103"/>
        <v>55464</v>
      </c>
      <c r="BH48" s="243">
        <f t="shared" si="103"/>
        <v>55464</v>
      </c>
      <c r="BI48" s="269">
        <f t="shared" si="93"/>
        <v>55464</v>
      </c>
    </row>
    <row r="49" spans="1:61">
      <c r="A49" s="336" t="s">
        <v>24</v>
      </c>
      <c r="C49" s="337">
        <f>SUM(C41,C42,C43,C44,C45,C46,C47,C48)</f>
        <v>3109689</v>
      </c>
      <c r="D49" s="338">
        <f t="shared" ref="D49:BH49" si="104">SUM(D41,D42,D43,D44,D45,D46,D47,D48)</f>
        <v>3322852</v>
      </c>
      <c r="E49" s="338">
        <f t="shared" si="104"/>
        <v>3193585</v>
      </c>
      <c r="F49" s="338">
        <f t="shared" si="104"/>
        <v>2932309</v>
      </c>
      <c r="G49" s="339">
        <f t="shared" si="104"/>
        <v>2932309</v>
      </c>
      <c r="I49" s="337">
        <f t="shared" si="104"/>
        <v>3199465</v>
      </c>
      <c r="J49" s="338">
        <f t="shared" si="104"/>
        <v>3249971</v>
      </c>
      <c r="K49" s="338">
        <f t="shared" si="104"/>
        <v>3297759</v>
      </c>
      <c r="L49" s="338">
        <f t="shared" si="104"/>
        <v>3249490</v>
      </c>
      <c r="M49" s="339">
        <f t="shared" si="104"/>
        <v>3249490</v>
      </c>
      <c r="O49" s="337">
        <f t="shared" si="104"/>
        <v>3561358</v>
      </c>
      <c r="P49" s="338">
        <f t="shared" si="104"/>
        <v>3764678</v>
      </c>
      <c r="Q49" s="338">
        <f t="shared" si="104"/>
        <v>4014934</v>
      </c>
      <c r="R49" s="338">
        <f t="shared" si="104"/>
        <v>4173671</v>
      </c>
      <c r="S49" s="339">
        <f t="shared" si="104"/>
        <v>4173671</v>
      </c>
      <c r="U49" s="337">
        <f t="shared" si="104"/>
        <v>9379506</v>
      </c>
      <c r="V49" s="338">
        <f t="shared" si="104"/>
        <v>10626094</v>
      </c>
      <c r="W49" s="338">
        <f t="shared" si="104"/>
        <v>10809148</v>
      </c>
      <c r="X49" s="338">
        <f t="shared" si="104"/>
        <v>10714343</v>
      </c>
      <c r="Y49" s="339">
        <f t="shared" si="104"/>
        <v>10714343</v>
      </c>
      <c r="AA49" s="337">
        <f t="shared" si="104"/>
        <v>12051185</v>
      </c>
      <c r="AB49" s="338">
        <f t="shared" si="104"/>
        <v>12085902</v>
      </c>
      <c r="AC49" s="338">
        <f t="shared" si="104"/>
        <v>11537698</v>
      </c>
      <c r="AD49" s="338">
        <f t="shared" si="104"/>
        <v>10595160</v>
      </c>
      <c r="AE49" s="339">
        <f t="shared" si="104"/>
        <v>10595160</v>
      </c>
      <c r="AG49" s="337">
        <f t="shared" si="104"/>
        <v>10476916</v>
      </c>
      <c r="AH49" s="344">
        <f t="shared" si="104"/>
        <v>10733112</v>
      </c>
      <c r="AI49" s="338">
        <f t="shared" si="104"/>
        <v>11139812.126795782</v>
      </c>
      <c r="AJ49" s="338">
        <f>SUM(AJ41,AJ42,AJ43,AJ44,AJ45,AJ46,AJ47,AJ48)</f>
        <v>11259781.779028224</v>
      </c>
      <c r="AK49" s="350">
        <f t="shared" si="85"/>
        <v>11259781.779028224</v>
      </c>
      <c r="AM49" s="337">
        <f t="shared" si="104"/>
        <v>11731747.388420887</v>
      </c>
      <c r="AN49" s="338">
        <f t="shared" si="104"/>
        <v>12109165.263369039</v>
      </c>
      <c r="AO49" s="338">
        <f t="shared" si="104"/>
        <v>12650394.715356169</v>
      </c>
      <c r="AP49" s="338">
        <f t="shared" si="104"/>
        <v>12538999.144527853</v>
      </c>
      <c r="AQ49" s="350">
        <f t="shared" si="87"/>
        <v>12538999.144527853</v>
      </c>
      <c r="AS49" s="337">
        <f t="shared" si="104"/>
        <v>13072392.637099151</v>
      </c>
      <c r="AT49" s="338">
        <f t="shared" si="104"/>
        <v>13691975.601686016</v>
      </c>
      <c r="AU49" s="338">
        <f t="shared" si="104"/>
        <v>14393473.744398873</v>
      </c>
      <c r="AV49" s="338">
        <f t="shared" si="104"/>
        <v>14481399.982071193</v>
      </c>
      <c r="AW49" s="350">
        <f t="shared" si="89"/>
        <v>14481399.982071193</v>
      </c>
      <c r="AY49" s="337">
        <f t="shared" si="104"/>
        <v>14936335.881212223</v>
      </c>
      <c r="AZ49" s="338">
        <f t="shared" si="104"/>
        <v>15652771.988627939</v>
      </c>
      <c r="BA49" s="338">
        <f t="shared" si="104"/>
        <v>16637156.569903446</v>
      </c>
      <c r="BB49" s="338">
        <f t="shared" si="104"/>
        <v>16784434.500069048</v>
      </c>
      <c r="BC49" s="350">
        <f t="shared" si="91"/>
        <v>16784434.500069048</v>
      </c>
      <c r="BE49" s="337">
        <f t="shared" si="104"/>
        <v>17267655.337701537</v>
      </c>
      <c r="BF49" s="338">
        <f t="shared" si="104"/>
        <v>18331574.441319421</v>
      </c>
      <c r="BG49" s="338">
        <f t="shared" si="104"/>
        <v>19272965.920962367</v>
      </c>
      <c r="BH49" s="338">
        <f t="shared" si="104"/>
        <v>19427871.623000283</v>
      </c>
      <c r="BI49" s="350">
        <f t="shared" si="93"/>
        <v>19427871.623000283</v>
      </c>
    </row>
    <row r="50" spans="1:61">
      <c r="A50" s="211" t="s">
        <v>25</v>
      </c>
      <c r="C50" s="267"/>
      <c r="D50" s="268"/>
      <c r="E50" s="268"/>
      <c r="F50" s="243"/>
      <c r="G50" s="269"/>
      <c r="I50" s="267"/>
      <c r="J50" s="268"/>
      <c r="K50" s="268"/>
      <c r="L50" s="243"/>
      <c r="M50" s="269"/>
      <c r="O50" s="267"/>
      <c r="P50" s="268"/>
      <c r="Q50" s="268"/>
      <c r="R50" s="243"/>
      <c r="S50" s="269"/>
      <c r="U50" s="267"/>
      <c r="V50" s="268"/>
      <c r="W50" s="268"/>
      <c r="X50" s="243"/>
      <c r="Y50" s="269"/>
      <c r="AA50" s="267"/>
      <c r="AB50" s="268" t="s">
        <v>85</v>
      </c>
      <c r="AC50" s="268" t="s">
        <v>85</v>
      </c>
      <c r="AD50" s="243" t="s">
        <v>85</v>
      </c>
      <c r="AE50" s="269" t="s">
        <v>85</v>
      </c>
      <c r="AG50" s="267" t="s">
        <v>85</v>
      </c>
      <c r="AH50" s="225" t="s">
        <v>85</v>
      </c>
      <c r="AI50" s="268"/>
      <c r="AJ50" s="268"/>
      <c r="AK50" s="269">
        <f t="shared" si="85"/>
        <v>0</v>
      </c>
      <c r="AM50" s="267"/>
      <c r="AN50" s="268"/>
      <c r="AO50" s="268"/>
      <c r="AP50" s="268"/>
      <c r="AQ50" s="269">
        <f t="shared" si="87"/>
        <v>0</v>
      </c>
      <c r="AS50" s="267"/>
      <c r="AT50" s="268"/>
      <c r="AU50" s="268"/>
      <c r="AV50" s="268"/>
      <c r="AW50" s="269">
        <f t="shared" si="89"/>
        <v>0</v>
      </c>
      <c r="AY50" s="267"/>
      <c r="AZ50" s="268"/>
      <c r="BA50" s="268"/>
      <c r="BB50" s="268"/>
      <c r="BC50" s="269">
        <f t="shared" si="91"/>
        <v>0</v>
      </c>
      <c r="BE50" s="267"/>
      <c r="BF50" s="268"/>
      <c r="BG50" s="268"/>
      <c r="BH50" s="268"/>
      <c r="BI50" s="269"/>
    </row>
    <row r="51" spans="1:61">
      <c r="A51" s="214" t="s">
        <v>26</v>
      </c>
      <c r="C51" s="747">
        <v>30996</v>
      </c>
      <c r="D51" s="748">
        <v>19849</v>
      </c>
      <c r="E51" s="748">
        <v>13531</v>
      </c>
      <c r="F51" s="748">
        <v>0</v>
      </c>
      <c r="G51" s="749">
        <v>0</v>
      </c>
      <c r="I51" s="747">
        <v>0</v>
      </c>
      <c r="J51" s="748">
        <v>0</v>
      </c>
      <c r="K51" s="748">
        <v>0</v>
      </c>
      <c r="L51" s="748">
        <v>0</v>
      </c>
      <c r="M51" s="749">
        <v>0</v>
      </c>
      <c r="O51" s="747">
        <v>0</v>
      </c>
      <c r="P51" s="748">
        <v>0</v>
      </c>
      <c r="Q51" s="748">
        <v>0</v>
      </c>
      <c r="R51" s="748">
        <v>0</v>
      </c>
      <c r="S51" s="749">
        <v>0</v>
      </c>
      <c r="U51" s="747">
        <v>0</v>
      </c>
      <c r="V51" s="748">
        <v>0</v>
      </c>
      <c r="W51" s="748">
        <v>0</v>
      </c>
      <c r="X51" s="748">
        <v>0</v>
      </c>
      <c r="Y51" s="749">
        <v>0</v>
      </c>
      <c r="AA51" s="747">
        <v>0</v>
      </c>
      <c r="AB51" s="748">
        <v>0</v>
      </c>
      <c r="AC51" s="748">
        <v>0</v>
      </c>
      <c r="AD51" s="748">
        <v>0</v>
      </c>
      <c r="AE51" s="749">
        <v>0</v>
      </c>
      <c r="AG51" s="747">
        <v>0</v>
      </c>
      <c r="AH51" s="755">
        <v>0</v>
      </c>
      <c r="AI51" s="243">
        <f>AH51</f>
        <v>0</v>
      </c>
      <c r="AJ51" s="243">
        <f>AI51</f>
        <v>0</v>
      </c>
      <c r="AK51" s="269">
        <f t="shared" si="85"/>
        <v>0</v>
      </c>
      <c r="AM51" s="242">
        <f>AK51</f>
        <v>0</v>
      </c>
      <c r="AN51" s="243">
        <f t="shared" ref="AN51:AP51" si="105">AM51</f>
        <v>0</v>
      </c>
      <c r="AO51" s="243">
        <f t="shared" si="105"/>
        <v>0</v>
      </c>
      <c r="AP51" s="243">
        <f t="shared" si="105"/>
        <v>0</v>
      </c>
      <c r="AQ51" s="269">
        <f t="shared" si="87"/>
        <v>0</v>
      </c>
      <c r="AS51" s="242">
        <f>AQ51</f>
        <v>0</v>
      </c>
      <c r="AT51" s="243">
        <f t="shared" ref="AT51:AV51" si="106">AS51</f>
        <v>0</v>
      </c>
      <c r="AU51" s="243">
        <f t="shared" si="106"/>
        <v>0</v>
      </c>
      <c r="AV51" s="243">
        <f t="shared" si="106"/>
        <v>0</v>
      </c>
      <c r="AW51" s="269">
        <f t="shared" si="89"/>
        <v>0</v>
      </c>
      <c r="AY51" s="242">
        <f>AW51</f>
        <v>0</v>
      </c>
      <c r="AZ51" s="243">
        <f t="shared" ref="AZ51:BB51" si="107">AY51</f>
        <v>0</v>
      </c>
      <c r="BA51" s="243">
        <f t="shared" si="107"/>
        <v>0</v>
      </c>
      <c r="BB51" s="243">
        <f t="shared" si="107"/>
        <v>0</v>
      </c>
      <c r="BC51" s="269">
        <f t="shared" si="91"/>
        <v>0</v>
      </c>
      <c r="BE51" s="242">
        <f>BC51</f>
        <v>0</v>
      </c>
      <c r="BF51" s="243">
        <f t="shared" ref="BF51:BH51" si="108">BE51</f>
        <v>0</v>
      </c>
      <c r="BG51" s="243">
        <f t="shared" si="108"/>
        <v>0</v>
      </c>
      <c r="BH51" s="243">
        <f t="shared" si="108"/>
        <v>0</v>
      </c>
      <c r="BI51" s="269">
        <f t="shared" si="93"/>
        <v>0</v>
      </c>
    </row>
    <row r="52" spans="1:61">
      <c r="A52" s="214" t="s">
        <v>27</v>
      </c>
      <c r="C52" s="747">
        <v>488178</v>
      </c>
      <c r="D52" s="748">
        <v>562549</v>
      </c>
      <c r="E52" s="748">
        <v>487775</v>
      </c>
      <c r="F52" s="748">
        <v>423168</v>
      </c>
      <c r="G52" s="749">
        <v>423168</v>
      </c>
      <c r="I52" s="747">
        <v>471338</v>
      </c>
      <c r="J52" s="748">
        <v>516897</v>
      </c>
      <c r="K52" s="748">
        <v>499360</v>
      </c>
      <c r="L52" s="748">
        <v>436823</v>
      </c>
      <c r="M52" s="749">
        <v>436823</v>
      </c>
      <c r="O52" s="747">
        <v>551548</v>
      </c>
      <c r="P52" s="748">
        <v>554394</v>
      </c>
      <c r="Q52" s="748">
        <v>651332</v>
      </c>
      <c r="R52" s="748">
        <v>600357</v>
      </c>
      <c r="S52" s="749">
        <v>600357</v>
      </c>
      <c r="U52" s="747">
        <v>1123804</v>
      </c>
      <c r="V52" s="748">
        <v>1318446</v>
      </c>
      <c r="W52" s="748">
        <v>1004521</v>
      </c>
      <c r="X52" s="748">
        <v>1093370</v>
      </c>
      <c r="Y52" s="749">
        <v>1093370</v>
      </c>
      <c r="AA52" s="747">
        <v>1563334</v>
      </c>
      <c r="AB52" s="748">
        <v>1265461</v>
      </c>
      <c r="AC52" s="748">
        <v>1087994</v>
      </c>
      <c r="AD52" s="748">
        <v>803479</v>
      </c>
      <c r="AE52" s="749">
        <v>803479</v>
      </c>
      <c r="AG52" s="747">
        <v>938938</v>
      </c>
      <c r="AH52" s="755">
        <v>1061965</v>
      </c>
      <c r="AI52" s="268">
        <f>(AI5/90)*AI99</f>
        <v>1031090.1244778509</v>
      </c>
      <c r="AJ52" s="268">
        <f>(AJ5/90)*AJ99</f>
        <v>845109.31571692508</v>
      </c>
      <c r="AK52" s="269">
        <f t="shared" si="85"/>
        <v>845109.31571692508</v>
      </c>
      <c r="AM52" s="267">
        <f>(AM5/90)*AM99</f>
        <v>1082229.947179321</v>
      </c>
      <c r="AN52" s="268">
        <f>(AN5/90)*AN99</f>
        <v>1148501.7616896294</v>
      </c>
      <c r="AO52" s="268">
        <f>(AO5/90)*AO99</f>
        <v>1290558.5610885432</v>
      </c>
      <c r="AP52" s="268">
        <f>(AP5/90)*AP99</f>
        <v>920176.65585973626</v>
      </c>
      <c r="AQ52" s="269">
        <f t="shared" si="87"/>
        <v>920176.65585973626</v>
      </c>
      <c r="AS52" s="267">
        <f>(AS5/90)*AS99</f>
        <v>1081909.1723156043</v>
      </c>
      <c r="AT52" s="268">
        <f>(AT5/90)*AT99</f>
        <v>1252036.8707768985</v>
      </c>
      <c r="AU52" s="268">
        <f>(AU5/90)*AU99</f>
        <v>1371603.4166702875</v>
      </c>
      <c r="AV52" s="268">
        <f>(AV5/90)*AV99</f>
        <v>1097742.4986772358</v>
      </c>
      <c r="AW52" s="269">
        <f t="shared" si="89"/>
        <v>1097742.4986772358</v>
      </c>
      <c r="AY52" s="267">
        <f>(AY5/90)*AY99</f>
        <v>1157649.4393697635</v>
      </c>
      <c r="AZ52" s="268">
        <f>(AZ5/90)*AZ99</f>
        <v>1256580.2549997438</v>
      </c>
      <c r="BA52" s="268">
        <f>(BA5/90)*BA99</f>
        <v>1464705.1767836388</v>
      </c>
      <c r="BB52" s="268">
        <f>(BB5/90)*BB99</f>
        <v>1108227.849172337</v>
      </c>
      <c r="BC52" s="269">
        <f t="shared" si="91"/>
        <v>1108227.849172337</v>
      </c>
      <c r="BE52" s="267">
        <f>(BE5/90)*BE99</f>
        <v>1171202.581747704</v>
      </c>
      <c r="BF52" s="268">
        <f>(BF5/90)*BF99</f>
        <v>1526867.6934453554</v>
      </c>
      <c r="BG52" s="268">
        <f>(BG5/90)*BG99</f>
        <v>1631637.0817621087</v>
      </c>
      <c r="BH52" s="268">
        <f>(BH5/90)*BH99</f>
        <v>1258060.485723594</v>
      </c>
      <c r="BI52" s="269">
        <f t="shared" si="93"/>
        <v>1258060.485723594</v>
      </c>
    </row>
    <row r="53" spans="1:61">
      <c r="A53" s="214" t="s">
        <v>28</v>
      </c>
      <c r="C53" s="747">
        <v>187804</v>
      </c>
      <c r="D53" s="748">
        <v>250381</v>
      </c>
      <c r="E53" s="748">
        <v>255836</v>
      </c>
      <c r="F53" s="748">
        <v>292526</v>
      </c>
      <c r="G53" s="749">
        <v>292526</v>
      </c>
      <c r="I53" s="747">
        <v>189237</v>
      </c>
      <c r="J53" s="748">
        <v>258096</v>
      </c>
      <c r="K53" s="748">
        <v>289735</v>
      </c>
      <c r="L53" s="748">
        <v>308950</v>
      </c>
      <c r="M53" s="749">
        <v>308950</v>
      </c>
      <c r="O53" s="747">
        <v>223319</v>
      </c>
      <c r="P53" s="748">
        <v>292851</v>
      </c>
      <c r="Q53" s="748">
        <v>342059</v>
      </c>
      <c r="R53" s="748">
        <v>385536</v>
      </c>
      <c r="S53" s="749">
        <v>385536</v>
      </c>
      <c r="U53" s="747">
        <v>628924</v>
      </c>
      <c r="V53" s="748">
        <v>831852</v>
      </c>
      <c r="W53" s="748">
        <v>930189</v>
      </c>
      <c r="X53" s="748">
        <v>718904</v>
      </c>
      <c r="Y53" s="749">
        <v>718904</v>
      </c>
      <c r="AA53" s="747">
        <v>772373</v>
      </c>
      <c r="AB53" s="748">
        <v>904934</v>
      </c>
      <c r="AC53" s="748">
        <v>850758</v>
      </c>
      <c r="AD53" s="748">
        <v>739009</v>
      </c>
      <c r="AE53" s="749">
        <v>739009</v>
      </c>
      <c r="AG53" s="747">
        <v>593422</v>
      </c>
      <c r="AH53" s="755">
        <v>599623</v>
      </c>
      <c r="AI53" s="243">
        <f t="shared" ref="AI53:AI55" si="109">AH53</f>
        <v>599623</v>
      </c>
      <c r="AJ53" s="243">
        <f>AI53</f>
        <v>599623</v>
      </c>
      <c r="AK53" s="269">
        <f t="shared" si="85"/>
        <v>599623</v>
      </c>
      <c r="AM53" s="242">
        <f>AK53</f>
        <v>599623</v>
      </c>
      <c r="AN53" s="243">
        <f t="shared" ref="AN53:AP53" si="110">AM53</f>
        <v>599623</v>
      </c>
      <c r="AO53" s="243">
        <f t="shared" si="110"/>
        <v>599623</v>
      </c>
      <c r="AP53" s="243">
        <f t="shared" si="110"/>
        <v>599623</v>
      </c>
      <c r="AQ53" s="269">
        <f t="shared" si="87"/>
        <v>599623</v>
      </c>
      <c r="AS53" s="242">
        <f>AQ53</f>
        <v>599623</v>
      </c>
      <c r="AT53" s="243">
        <f t="shared" ref="AT53:AV55" si="111">AS53</f>
        <v>599623</v>
      </c>
      <c r="AU53" s="243">
        <f t="shared" si="111"/>
        <v>599623</v>
      </c>
      <c r="AV53" s="243">
        <f t="shared" si="111"/>
        <v>599623</v>
      </c>
      <c r="AW53" s="269">
        <f t="shared" si="89"/>
        <v>599623</v>
      </c>
      <c r="AY53" s="242">
        <f>AW53</f>
        <v>599623</v>
      </c>
      <c r="AZ53" s="243">
        <f t="shared" ref="AZ53:BB55" si="112">AY53</f>
        <v>599623</v>
      </c>
      <c r="BA53" s="243">
        <f t="shared" si="112"/>
        <v>599623</v>
      </c>
      <c r="BB53" s="243">
        <f t="shared" si="112"/>
        <v>599623</v>
      </c>
      <c r="BC53" s="269">
        <f t="shared" si="91"/>
        <v>599623</v>
      </c>
      <c r="BE53" s="242">
        <f>BC53</f>
        <v>599623</v>
      </c>
      <c r="BF53" s="243">
        <f t="shared" ref="BF53:BH55" si="113">BE53</f>
        <v>599623</v>
      </c>
      <c r="BG53" s="243">
        <f t="shared" si="113"/>
        <v>599623</v>
      </c>
      <c r="BH53" s="243">
        <f t="shared" si="113"/>
        <v>599623</v>
      </c>
      <c r="BI53" s="269">
        <f t="shared" si="93"/>
        <v>599623</v>
      </c>
    </row>
    <row r="54" spans="1:61">
      <c r="A54" s="214" t="s">
        <v>81</v>
      </c>
      <c r="C54" s="747">
        <v>0</v>
      </c>
      <c r="D54" s="748">
        <v>0</v>
      </c>
      <c r="E54" s="748">
        <v>0</v>
      </c>
      <c r="F54" s="748">
        <v>0</v>
      </c>
      <c r="G54" s="749">
        <v>0</v>
      </c>
      <c r="I54" s="747">
        <v>0</v>
      </c>
      <c r="J54" s="748">
        <v>0</v>
      </c>
      <c r="K54" s="748">
        <v>0</v>
      </c>
      <c r="L54" s="748">
        <v>0</v>
      </c>
      <c r="M54" s="749">
        <v>0</v>
      </c>
      <c r="O54" s="747">
        <v>0</v>
      </c>
      <c r="P54" s="748">
        <v>0</v>
      </c>
      <c r="Q54" s="748">
        <v>0</v>
      </c>
      <c r="R54" s="748">
        <v>0</v>
      </c>
      <c r="S54" s="749">
        <v>0</v>
      </c>
      <c r="U54" s="747">
        <v>0</v>
      </c>
      <c r="V54" s="748">
        <v>0</v>
      </c>
      <c r="W54" s="748">
        <v>0</v>
      </c>
      <c r="X54" s="748">
        <v>216097</v>
      </c>
      <c r="Y54" s="749">
        <v>216097</v>
      </c>
      <c r="AA54" s="747">
        <v>249478</v>
      </c>
      <c r="AB54" s="748">
        <v>259029</v>
      </c>
      <c r="AC54" s="748">
        <v>250166</v>
      </c>
      <c r="AD54" s="748">
        <v>193178</v>
      </c>
      <c r="AE54" s="749">
        <v>193178</v>
      </c>
      <c r="AG54" s="747">
        <v>194195</v>
      </c>
      <c r="AH54" s="755">
        <v>190262</v>
      </c>
      <c r="AI54" s="243">
        <f t="shared" si="109"/>
        <v>190262</v>
      </c>
      <c r="AJ54" s="243">
        <f>AI54</f>
        <v>190262</v>
      </c>
      <c r="AK54" s="269">
        <f t="shared" si="85"/>
        <v>190262</v>
      </c>
      <c r="AM54" s="242">
        <f>AK54</f>
        <v>190262</v>
      </c>
      <c r="AN54" s="243">
        <f t="shared" ref="AN54:AP54" si="114">AM54</f>
        <v>190262</v>
      </c>
      <c r="AO54" s="243">
        <f t="shared" si="114"/>
        <v>190262</v>
      </c>
      <c r="AP54" s="243">
        <f t="shared" si="114"/>
        <v>190262</v>
      </c>
      <c r="AQ54" s="269">
        <f t="shared" si="87"/>
        <v>190262</v>
      </c>
      <c r="AS54" s="242">
        <f>AQ54</f>
        <v>190262</v>
      </c>
      <c r="AT54" s="243">
        <f t="shared" si="111"/>
        <v>190262</v>
      </c>
      <c r="AU54" s="243">
        <f t="shared" si="111"/>
        <v>190262</v>
      </c>
      <c r="AV54" s="243">
        <f t="shared" si="111"/>
        <v>190262</v>
      </c>
      <c r="AW54" s="269">
        <f t="shared" si="89"/>
        <v>190262</v>
      </c>
      <c r="AY54" s="242">
        <f>AW54</f>
        <v>190262</v>
      </c>
      <c r="AZ54" s="243">
        <f t="shared" si="112"/>
        <v>190262</v>
      </c>
      <c r="BA54" s="243">
        <f t="shared" si="112"/>
        <v>190262</v>
      </c>
      <c r="BB54" s="243">
        <f t="shared" si="112"/>
        <v>190262</v>
      </c>
      <c r="BC54" s="269">
        <f t="shared" si="91"/>
        <v>190262</v>
      </c>
      <c r="BE54" s="242">
        <f>BC54</f>
        <v>190262</v>
      </c>
      <c r="BF54" s="243">
        <f t="shared" si="113"/>
        <v>190262</v>
      </c>
      <c r="BG54" s="243">
        <f t="shared" si="113"/>
        <v>190262</v>
      </c>
      <c r="BH54" s="243">
        <f t="shared" si="113"/>
        <v>190262</v>
      </c>
      <c r="BI54" s="269">
        <f t="shared" si="93"/>
        <v>190262</v>
      </c>
    </row>
    <row r="55" spans="1:61">
      <c r="A55" s="214" t="s">
        <v>53</v>
      </c>
      <c r="C55" s="747">
        <v>0</v>
      </c>
      <c r="D55" s="748">
        <v>0</v>
      </c>
      <c r="E55" s="748">
        <v>0</v>
      </c>
      <c r="F55" s="748">
        <v>0</v>
      </c>
      <c r="G55" s="749">
        <v>0</v>
      </c>
      <c r="I55" s="747">
        <v>60291</v>
      </c>
      <c r="J55" s="748">
        <v>60576</v>
      </c>
      <c r="K55" s="748">
        <v>60280</v>
      </c>
      <c r="L55" s="748">
        <v>61653</v>
      </c>
      <c r="M55" s="749">
        <v>61653</v>
      </c>
      <c r="O55" s="747">
        <v>61628</v>
      </c>
      <c r="P55" s="748">
        <v>61887</v>
      </c>
      <c r="Q55" s="748">
        <v>61953</v>
      </c>
      <c r="R55" s="748">
        <v>61625</v>
      </c>
      <c r="S55" s="749">
        <v>61625</v>
      </c>
      <c r="U55" s="747">
        <v>94316</v>
      </c>
      <c r="V55" s="748">
        <v>91134</v>
      </c>
      <c r="W55" s="748">
        <v>94651</v>
      </c>
      <c r="X55" s="748">
        <v>96680</v>
      </c>
      <c r="Y55" s="749">
        <v>96680</v>
      </c>
      <c r="AA55" s="747">
        <v>94968</v>
      </c>
      <c r="AB55" s="748">
        <v>96504</v>
      </c>
      <c r="AC55" s="748">
        <v>100972</v>
      </c>
      <c r="AD55" s="748">
        <v>100758</v>
      </c>
      <c r="AE55" s="749">
        <v>100758</v>
      </c>
      <c r="AG55" s="747">
        <v>100946</v>
      </c>
      <c r="AH55" s="755">
        <v>99692</v>
      </c>
      <c r="AI55" s="243">
        <f t="shared" si="109"/>
        <v>99692</v>
      </c>
      <c r="AJ55" s="243">
        <f>AI55</f>
        <v>99692</v>
      </c>
      <c r="AK55" s="269">
        <f t="shared" si="85"/>
        <v>99692</v>
      </c>
      <c r="AM55" s="242">
        <f>AK55</f>
        <v>99692</v>
      </c>
      <c r="AN55" s="243">
        <f t="shared" ref="AN55:AP55" si="115">AM55</f>
        <v>99692</v>
      </c>
      <c r="AO55" s="243">
        <f t="shared" si="115"/>
        <v>99692</v>
      </c>
      <c r="AP55" s="243">
        <f t="shared" si="115"/>
        <v>99692</v>
      </c>
      <c r="AQ55" s="269">
        <f t="shared" si="87"/>
        <v>99692</v>
      </c>
      <c r="AS55" s="242">
        <f>AQ55</f>
        <v>99692</v>
      </c>
      <c r="AT55" s="243">
        <f t="shared" si="111"/>
        <v>99692</v>
      </c>
      <c r="AU55" s="243">
        <f t="shared" si="111"/>
        <v>99692</v>
      </c>
      <c r="AV55" s="243">
        <f t="shared" si="111"/>
        <v>99692</v>
      </c>
      <c r="AW55" s="269">
        <f t="shared" si="89"/>
        <v>99692</v>
      </c>
      <c r="AY55" s="242">
        <f>AW55</f>
        <v>99692</v>
      </c>
      <c r="AZ55" s="243">
        <f t="shared" si="112"/>
        <v>99692</v>
      </c>
      <c r="BA55" s="243">
        <f t="shared" si="112"/>
        <v>99692</v>
      </c>
      <c r="BB55" s="243">
        <f t="shared" si="112"/>
        <v>99692</v>
      </c>
      <c r="BC55" s="269">
        <f t="shared" si="91"/>
        <v>99692</v>
      </c>
      <c r="BE55" s="242">
        <f>BC55</f>
        <v>99692</v>
      </c>
      <c r="BF55" s="243">
        <f t="shared" si="113"/>
        <v>99692</v>
      </c>
      <c r="BG55" s="243">
        <f t="shared" si="113"/>
        <v>99692</v>
      </c>
      <c r="BH55" s="243">
        <f t="shared" si="113"/>
        <v>99692</v>
      </c>
      <c r="BI55" s="269">
        <f t="shared" si="93"/>
        <v>99692</v>
      </c>
    </row>
    <row r="56" spans="1:61">
      <c r="A56" s="214" t="s">
        <v>29</v>
      </c>
      <c r="C56" s="747">
        <v>12413</v>
      </c>
      <c r="D56" s="748">
        <v>13971</v>
      </c>
      <c r="E56" s="748">
        <v>14620</v>
      </c>
      <c r="F56" s="748">
        <v>15565</v>
      </c>
      <c r="G56" s="749">
        <v>15565</v>
      </c>
      <c r="I56" s="747">
        <v>17045</v>
      </c>
      <c r="J56" s="748">
        <v>12650</v>
      </c>
      <c r="K56" s="748">
        <v>14370</v>
      </c>
      <c r="L56" s="748">
        <v>13875</v>
      </c>
      <c r="M56" s="749">
        <v>13875</v>
      </c>
      <c r="O56" s="747">
        <v>22518</v>
      </c>
      <c r="P56" s="748">
        <v>23974</v>
      </c>
      <c r="Q56" s="748">
        <v>29527</v>
      </c>
      <c r="R56" s="748">
        <v>27335</v>
      </c>
      <c r="S56" s="749">
        <v>27335</v>
      </c>
      <c r="U56" s="747">
        <v>14134</v>
      </c>
      <c r="V56" s="748">
        <v>11316</v>
      </c>
      <c r="W56" s="748">
        <v>3819</v>
      </c>
      <c r="X56" s="748">
        <v>3660</v>
      </c>
      <c r="Y56" s="749">
        <v>3660</v>
      </c>
      <c r="AA56" s="747">
        <v>2914</v>
      </c>
      <c r="AB56" s="748">
        <v>2885</v>
      </c>
      <c r="AC56" s="748">
        <v>3837</v>
      </c>
      <c r="AD56" s="748">
        <v>6355</v>
      </c>
      <c r="AE56" s="749">
        <v>6355</v>
      </c>
      <c r="AG56" s="747">
        <v>4430</v>
      </c>
      <c r="AH56" s="755">
        <v>4314</v>
      </c>
      <c r="AI56" s="268">
        <f>'Debt Schedule'!C43</f>
        <v>4319.0704544463815</v>
      </c>
      <c r="AJ56" s="268">
        <f>'Debt Schedule'!D43</f>
        <v>4319.0704544463815</v>
      </c>
      <c r="AK56" s="269">
        <f t="shared" si="85"/>
        <v>4319.0704544463815</v>
      </c>
      <c r="AM56" s="267">
        <f>'Debt Schedule'!E43</f>
        <v>4319.0704544463815</v>
      </c>
      <c r="AN56" s="268">
        <f>'Debt Schedule'!F43</f>
        <v>4319.0704544463815</v>
      </c>
      <c r="AO56" s="268">
        <f>'Debt Schedule'!G43</f>
        <v>4319.0704544463815</v>
      </c>
      <c r="AP56" s="268">
        <f>'Debt Schedule'!H43</f>
        <v>4319.0704544463815</v>
      </c>
      <c r="AQ56" s="269">
        <f t="shared" si="87"/>
        <v>4319.0704544463815</v>
      </c>
      <c r="AS56" s="267">
        <f>'Debt Schedule'!I43</f>
        <v>4319.0704544463815</v>
      </c>
      <c r="AT56" s="268">
        <f>'Debt Schedule'!J43</f>
        <v>4319.0704544463815</v>
      </c>
      <c r="AU56" s="268">
        <f>'Debt Schedule'!K43</f>
        <v>4319.0704544463815</v>
      </c>
      <c r="AV56" s="268">
        <f>'Debt Schedule'!L43</f>
        <v>4319.0704544463815</v>
      </c>
      <c r="AW56" s="269">
        <f t="shared" si="89"/>
        <v>4319.0704544463815</v>
      </c>
      <c r="AY56" s="267">
        <f>'Debt Schedule'!M43</f>
        <v>4319.0704544463815</v>
      </c>
      <c r="AZ56" s="268">
        <f>'Debt Schedule'!N43</f>
        <v>4319.0704544463815</v>
      </c>
      <c r="BA56" s="268">
        <f>'Debt Schedule'!O43</f>
        <v>4319.0704544463815</v>
      </c>
      <c r="BB56" s="268">
        <f>'Debt Schedule'!P43</f>
        <v>4319.0704544463815</v>
      </c>
      <c r="BC56" s="269">
        <f t="shared" si="91"/>
        <v>4319.0704544463815</v>
      </c>
      <c r="BE56" s="267">
        <f>'Debt Schedule'!Q43</f>
        <v>4319.0704544463815</v>
      </c>
      <c r="BF56" s="268">
        <f>'Debt Schedule'!R43</f>
        <v>4319.0704544463815</v>
      </c>
      <c r="BG56" s="268">
        <f>'Debt Schedule'!S43</f>
        <v>4319.0704544463815</v>
      </c>
      <c r="BH56" s="268">
        <f>'Debt Schedule'!T43</f>
        <v>4319.0704544463815</v>
      </c>
      <c r="BI56" s="269">
        <f t="shared" si="93"/>
        <v>4319.0704544463815</v>
      </c>
    </row>
    <row r="57" spans="1:61">
      <c r="A57" s="336" t="s">
        <v>30</v>
      </c>
      <c r="C57" s="337">
        <f>SUM(C51:C56)</f>
        <v>719391</v>
      </c>
      <c r="D57" s="338">
        <f t="shared" ref="D57:BH57" si="116">SUM(D51:D56)</f>
        <v>846750</v>
      </c>
      <c r="E57" s="338">
        <f t="shared" si="116"/>
        <v>771762</v>
      </c>
      <c r="F57" s="338">
        <f t="shared" si="116"/>
        <v>731259</v>
      </c>
      <c r="G57" s="339">
        <f t="shared" si="116"/>
        <v>731259</v>
      </c>
      <c r="I57" s="337">
        <f t="shared" si="116"/>
        <v>737911</v>
      </c>
      <c r="J57" s="338">
        <f t="shared" si="116"/>
        <v>848219</v>
      </c>
      <c r="K57" s="338">
        <f t="shared" si="116"/>
        <v>863745</v>
      </c>
      <c r="L57" s="338">
        <f>SUM(L51:L56)</f>
        <v>821301</v>
      </c>
      <c r="M57" s="339">
        <f t="shared" si="116"/>
        <v>821301</v>
      </c>
      <c r="O57" s="337">
        <f t="shared" si="116"/>
        <v>859013</v>
      </c>
      <c r="P57" s="338">
        <f t="shared" si="116"/>
        <v>933106</v>
      </c>
      <c r="Q57" s="338">
        <f t="shared" si="116"/>
        <v>1084871</v>
      </c>
      <c r="R57" s="338">
        <f t="shared" si="116"/>
        <v>1074853</v>
      </c>
      <c r="S57" s="339">
        <f t="shared" si="116"/>
        <v>1074853</v>
      </c>
      <c r="U57" s="337">
        <f t="shared" si="116"/>
        <v>1861178</v>
      </c>
      <c r="V57" s="338">
        <f t="shared" si="116"/>
        <v>2252748</v>
      </c>
      <c r="W57" s="338">
        <f t="shared" si="116"/>
        <v>2033180</v>
      </c>
      <c r="X57" s="338">
        <f t="shared" si="116"/>
        <v>2128711</v>
      </c>
      <c r="Y57" s="339">
        <f t="shared" si="116"/>
        <v>2128711</v>
      </c>
      <c r="AA57" s="337">
        <f t="shared" si="116"/>
        <v>2683067</v>
      </c>
      <c r="AB57" s="338">
        <f t="shared" si="116"/>
        <v>2528813</v>
      </c>
      <c r="AC57" s="338">
        <f t="shared" si="116"/>
        <v>2293727</v>
      </c>
      <c r="AD57" s="338">
        <f t="shared" si="116"/>
        <v>1842779</v>
      </c>
      <c r="AE57" s="339">
        <f t="shared" si="116"/>
        <v>1842779</v>
      </c>
      <c r="AG57" s="337">
        <f t="shared" si="116"/>
        <v>1831931</v>
      </c>
      <c r="AH57" s="344">
        <f t="shared" si="116"/>
        <v>1955856</v>
      </c>
      <c r="AI57" s="338">
        <f t="shared" si="116"/>
        <v>1924986.1949322971</v>
      </c>
      <c r="AJ57" s="338">
        <f>SUM(AJ51:AJ56)</f>
        <v>1739005.3861713714</v>
      </c>
      <c r="AK57" s="350">
        <f t="shared" si="85"/>
        <v>1739005.3861713714</v>
      </c>
      <c r="AM57" s="337">
        <f t="shared" si="116"/>
        <v>1976126.0176337673</v>
      </c>
      <c r="AN57" s="338">
        <f t="shared" si="116"/>
        <v>2042397.8321440758</v>
      </c>
      <c r="AO57" s="338">
        <f t="shared" si="116"/>
        <v>2184454.63154299</v>
      </c>
      <c r="AP57" s="338">
        <f t="shared" si="116"/>
        <v>1814072.7263141826</v>
      </c>
      <c r="AQ57" s="350">
        <f t="shared" si="87"/>
        <v>1814072.7263141826</v>
      </c>
      <c r="AS57" s="337">
        <f t="shared" si="116"/>
        <v>1975805.2427700507</v>
      </c>
      <c r="AT57" s="338">
        <f t="shared" si="116"/>
        <v>2145932.9412313448</v>
      </c>
      <c r="AU57" s="338">
        <f t="shared" si="116"/>
        <v>2265499.4871247341</v>
      </c>
      <c r="AV57" s="338">
        <f t="shared" si="116"/>
        <v>1991638.5691316822</v>
      </c>
      <c r="AW57" s="350">
        <f t="shared" si="89"/>
        <v>1991638.5691316822</v>
      </c>
      <c r="AY57" s="337">
        <f t="shared" si="116"/>
        <v>2051545.5098242098</v>
      </c>
      <c r="AZ57" s="338">
        <f t="shared" si="116"/>
        <v>2150476.3254541904</v>
      </c>
      <c r="BA57" s="338">
        <f t="shared" si="116"/>
        <v>2358601.2472380856</v>
      </c>
      <c r="BB57" s="338">
        <f t="shared" si="116"/>
        <v>2002123.9196267833</v>
      </c>
      <c r="BC57" s="350">
        <f t="shared" si="91"/>
        <v>2002123.9196267833</v>
      </c>
      <c r="BE57" s="337">
        <f t="shared" si="116"/>
        <v>2065098.6522021503</v>
      </c>
      <c r="BF57" s="338">
        <f t="shared" si="116"/>
        <v>2420763.7638998022</v>
      </c>
      <c r="BG57" s="338">
        <f t="shared" si="116"/>
        <v>2525533.1522165556</v>
      </c>
      <c r="BH57" s="338">
        <f t="shared" si="116"/>
        <v>2151956.5561780408</v>
      </c>
      <c r="BI57" s="350">
        <f t="shared" si="93"/>
        <v>2151956.5561780408</v>
      </c>
    </row>
    <row r="58" spans="1:61">
      <c r="A58" s="214" t="s">
        <v>54</v>
      </c>
      <c r="C58" s="747">
        <v>0</v>
      </c>
      <c r="D58" s="748">
        <v>0</v>
      </c>
      <c r="E58" s="748">
        <v>0</v>
      </c>
      <c r="F58" s="748">
        <v>0</v>
      </c>
      <c r="G58" s="749">
        <v>0</v>
      </c>
      <c r="I58" s="747">
        <v>213841</v>
      </c>
      <c r="J58" s="748">
        <v>218001</v>
      </c>
      <c r="K58" s="748">
        <v>232475</v>
      </c>
      <c r="L58" s="748">
        <v>236948</v>
      </c>
      <c r="M58" s="749">
        <v>236948</v>
      </c>
      <c r="O58" s="747">
        <v>230355</v>
      </c>
      <c r="P58" s="748">
        <v>230634</v>
      </c>
      <c r="Q58" s="748">
        <v>222132</v>
      </c>
      <c r="R58" s="748">
        <v>219239</v>
      </c>
      <c r="S58" s="749">
        <v>219239</v>
      </c>
      <c r="U58" s="747">
        <v>356549</v>
      </c>
      <c r="V58" s="748">
        <v>347823</v>
      </c>
      <c r="W58" s="748">
        <v>360271</v>
      </c>
      <c r="X58" s="748">
        <v>375289</v>
      </c>
      <c r="Y58" s="749">
        <v>375289</v>
      </c>
      <c r="AA58" s="747">
        <v>366524</v>
      </c>
      <c r="AB58" s="748">
        <v>401995</v>
      </c>
      <c r="AC58" s="748">
        <v>414911</v>
      </c>
      <c r="AD58" s="748">
        <v>404463</v>
      </c>
      <c r="AE58" s="749">
        <v>404463</v>
      </c>
      <c r="AG58" s="747">
        <v>403812</v>
      </c>
      <c r="AH58" s="755">
        <v>409231</v>
      </c>
      <c r="AI58" s="243">
        <f>AH58</f>
        <v>409231</v>
      </c>
      <c r="AJ58" s="243">
        <f>AI58</f>
        <v>409231</v>
      </c>
      <c r="AK58" s="269">
        <f t="shared" si="85"/>
        <v>409231</v>
      </c>
      <c r="AM58" s="242">
        <f>AK58</f>
        <v>409231</v>
      </c>
      <c r="AN58" s="243">
        <f t="shared" ref="AN58:AP58" si="117">AM58</f>
        <v>409231</v>
      </c>
      <c r="AO58" s="243">
        <f t="shared" si="117"/>
        <v>409231</v>
      </c>
      <c r="AP58" s="243">
        <f t="shared" si="117"/>
        <v>409231</v>
      </c>
      <c r="AQ58" s="269">
        <f t="shared" si="87"/>
        <v>409231</v>
      </c>
      <c r="AS58" s="242">
        <f>AQ58</f>
        <v>409231</v>
      </c>
      <c r="AT58" s="243">
        <f t="shared" ref="AT58:AV58" si="118">AS58</f>
        <v>409231</v>
      </c>
      <c r="AU58" s="243">
        <f t="shared" si="118"/>
        <v>409231</v>
      </c>
      <c r="AV58" s="243">
        <f t="shared" si="118"/>
        <v>409231</v>
      </c>
      <c r="AW58" s="269">
        <f t="shared" si="89"/>
        <v>409231</v>
      </c>
      <c r="AY58" s="242">
        <f>AW58</f>
        <v>409231</v>
      </c>
      <c r="AZ58" s="243">
        <f t="shared" ref="AZ58:BB58" si="119">AY58</f>
        <v>409231</v>
      </c>
      <c r="BA58" s="243">
        <f t="shared" si="119"/>
        <v>409231</v>
      </c>
      <c r="BB58" s="243">
        <f t="shared" si="119"/>
        <v>409231</v>
      </c>
      <c r="BC58" s="269">
        <f t="shared" si="91"/>
        <v>409231</v>
      </c>
      <c r="BE58" s="242">
        <f>BC58</f>
        <v>409231</v>
      </c>
      <c r="BF58" s="243">
        <f t="shared" ref="BF58:BH58" si="120">BE58</f>
        <v>409231</v>
      </c>
      <c r="BG58" s="243">
        <f t="shared" si="120"/>
        <v>409231</v>
      </c>
      <c r="BH58" s="243">
        <f t="shared" si="120"/>
        <v>409231</v>
      </c>
      <c r="BI58" s="269">
        <f t="shared" si="93"/>
        <v>409231</v>
      </c>
    </row>
    <row r="59" spans="1:61">
      <c r="A59" s="214" t="s">
        <v>31</v>
      </c>
      <c r="C59" s="747">
        <v>1928410</v>
      </c>
      <c r="D59" s="748">
        <v>1954243</v>
      </c>
      <c r="E59" s="748">
        <v>1826962</v>
      </c>
      <c r="F59" s="748">
        <v>1545729</v>
      </c>
      <c r="G59" s="749">
        <v>1545729</v>
      </c>
      <c r="I59" s="747">
        <v>1562085</v>
      </c>
      <c r="J59" s="748">
        <v>1420462</v>
      </c>
      <c r="K59" s="748">
        <v>1350467</v>
      </c>
      <c r="L59" s="748">
        <v>1277398</v>
      </c>
      <c r="M59" s="749">
        <v>1277398</v>
      </c>
      <c r="O59" s="747">
        <v>1545211</v>
      </c>
      <c r="P59" s="748">
        <v>1577884</v>
      </c>
      <c r="Q59" s="748">
        <v>1574146</v>
      </c>
      <c r="R59" s="748">
        <v>1596905</v>
      </c>
      <c r="S59" s="749">
        <v>1596905</v>
      </c>
      <c r="U59" s="747">
        <v>1658109</v>
      </c>
      <c r="V59" s="748">
        <v>2043817</v>
      </c>
      <c r="W59" s="748">
        <v>2419664</v>
      </c>
      <c r="X59" s="748">
        <v>2926122</v>
      </c>
      <c r="Y59" s="749">
        <v>2926122</v>
      </c>
      <c r="AA59" s="747">
        <v>3391629</v>
      </c>
      <c r="AB59" s="748">
        <v>3552362</v>
      </c>
      <c r="AC59" s="748">
        <v>3169429</v>
      </c>
      <c r="AD59" s="748">
        <v>2977842</v>
      </c>
      <c r="AE59" s="749">
        <v>2977842</v>
      </c>
      <c r="AG59" s="747">
        <v>3194428</v>
      </c>
      <c r="AH59" s="755">
        <v>3670400</v>
      </c>
      <c r="AI59" s="268">
        <f>'Debt Schedule'!C40</f>
        <v>3674714</v>
      </c>
      <c r="AJ59" s="268">
        <f>'Debt Schedule'!D40</f>
        <v>3674714</v>
      </c>
      <c r="AK59" s="269">
        <f t="shared" si="85"/>
        <v>3674714</v>
      </c>
      <c r="AM59" s="267">
        <f>'Debt Schedule'!E40</f>
        <v>3674714</v>
      </c>
      <c r="AN59" s="268">
        <f>'Debt Schedule'!F40</f>
        <v>3674714</v>
      </c>
      <c r="AO59" s="268">
        <f>'Debt Schedule'!G40</f>
        <v>3674714</v>
      </c>
      <c r="AP59" s="268">
        <f>'Debt Schedule'!H40</f>
        <v>3674714</v>
      </c>
      <c r="AQ59" s="269">
        <f t="shared" si="87"/>
        <v>3674714</v>
      </c>
      <c r="AS59" s="267">
        <f>'Debt Schedule'!I40</f>
        <v>3674714</v>
      </c>
      <c r="AT59" s="268">
        <f>'Debt Schedule'!J40</f>
        <v>3674714</v>
      </c>
      <c r="AU59" s="268">
        <f>'Debt Schedule'!K40</f>
        <v>3674714</v>
      </c>
      <c r="AV59" s="268">
        <f>'Debt Schedule'!L40</f>
        <v>3674714</v>
      </c>
      <c r="AW59" s="269">
        <f t="shared" si="89"/>
        <v>3674714</v>
      </c>
      <c r="AY59" s="267">
        <f>'Debt Schedule'!M40</f>
        <v>3674714</v>
      </c>
      <c r="AZ59" s="268">
        <f>'Debt Schedule'!N40</f>
        <v>3674714</v>
      </c>
      <c r="BA59" s="268">
        <f>'Debt Schedule'!O40</f>
        <v>3674714</v>
      </c>
      <c r="BB59" s="268">
        <f>'Debt Schedule'!P40</f>
        <v>3674714</v>
      </c>
      <c r="BC59" s="269">
        <f t="shared" si="91"/>
        <v>3674714</v>
      </c>
      <c r="BE59" s="267">
        <f>'Debt Schedule'!Q40</f>
        <v>3674714</v>
      </c>
      <c r="BF59" s="268">
        <f>'Debt Schedule'!R40</f>
        <v>3674714</v>
      </c>
      <c r="BG59" s="268">
        <f>'Debt Schedule'!S40</f>
        <v>3674714</v>
      </c>
      <c r="BH59" s="268">
        <f>'Debt Schedule'!T40</f>
        <v>3674714</v>
      </c>
      <c r="BI59" s="269">
        <f t="shared" si="93"/>
        <v>3674714</v>
      </c>
    </row>
    <row r="60" spans="1:61">
      <c r="A60" s="214" t="s">
        <v>22</v>
      </c>
      <c r="C60" s="747">
        <v>0</v>
      </c>
      <c r="D60" s="748">
        <v>0</v>
      </c>
      <c r="E60" s="748">
        <v>0</v>
      </c>
      <c r="F60" s="748">
        <v>0</v>
      </c>
      <c r="G60" s="749">
        <v>0</v>
      </c>
      <c r="I60" s="747">
        <v>0</v>
      </c>
      <c r="J60" s="748">
        <v>5967</v>
      </c>
      <c r="K60" s="748">
        <v>18836</v>
      </c>
      <c r="L60" s="748">
        <v>36645</v>
      </c>
      <c r="M60" s="749">
        <v>36645</v>
      </c>
      <c r="O60" s="747">
        <v>37496</v>
      </c>
      <c r="P60" s="748">
        <v>38169</v>
      </c>
      <c r="Q60" s="748">
        <v>37360</v>
      </c>
      <c r="R60" s="748">
        <v>49495</v>
      </c>
      <c r="S60" s="749">
        <v>49495</v>
      </c>
      <c r="U60" s="747">
        <v>390577</v>
      </c>
      <c r="V60" s="748">
        <v>362061</v>
      </c>
      <c r="W60" s="748">
        <v>330998</v>
      </c>
      <c r="X60" s="748">
        <v>362121</v>
      </c>
      <c r="Y60" s="749">
        <v>362121</v>
      </c>
      <c r="AA60" s="747">
        <v>354723</v>
      </c>
      <c r="AB60" s="748">
        <v>339494</v>
      </c>
      <c r="AC60" s="748">
        <v>304939</v>
      </c>
      <c r="AD60" s="748">
        <v>269660</v>
      </c>
      <c r="AE60" s="749">
        <v>269660</v>
      </c>
      <c r="AG60" s="747">
        <v>248191</v>
      </c>
      <c r="AH60" s="755">
        <v>231758</v>
      </c>
      <c r="AI60" s="243">
        <f>AH60</f>
        <v>231758</v>
      </c>
      <c r="AJ60" s="243">
        <f>AI60</f>
        <v>231758</v>
      </c>
      <c r="AK60" s="269">
        <f t="shared" si="85"/>
        <v>231758</v>
      </c>
      <c r="AM60" s="242">
        <f>AK60</f>
        <v>231758</v>
      </c>
      <c r="AN60" s="243">
        <f t="shared" ref="AN60:AP60" si="121">AM60</f>
        <v>231758</v>
      </c>
      <c r="AO60" s="243">
        <f t="shared" si="121"/>
        <v>231758</v>
      </c>
      <c r="AP60" s="243">
        <f t="shared" si="121"/>
        <v>231758</v>
      </c>
      <c r="AQ60" s="269">
        <f t="shared" si="87"/>
        <v>231758</v>
      </c>
      <c r="AS60" s="242">
        <f>AQ60</f>
        <v>231758</v>
      </c>
      <c r="AT60" s="243">
        <f t="shared" ref="AT60:AV61" si="122">AS60</f>
        <v>231758</v>
      </c>
      <c r="AU60" s="243">
        <f t="shared" si="122"/>
        <v>231758</v>
      </c>
      <c r="AV60" s="243">
        <f t="shared" si="122"/>
        <v>231758</v>
      </c>
      <c r="AW60" s="269">
        <f t="shared" si="89"/>
        <v>231758</v>
      </c>
      <c r="AY60" s="242">
        <f>AW60</f>
        <v>231758</v>
      </c>
      <c r="AZ60" s="243">
        <f t="shared" ref="AZ60:BB61" si="123">AY60</f>
        <v>231758</v>
      </c>
      <c r="BA60" s="243">
        <f t="shared" si="123"/>
        <v>231758</v>
      </c>
      <c r="BB60" s="243">
        <f t="shared" si="123"/>
        <v>231758</v>
      </c>
      <c r="BC60" s="269">
        <f t="shared" si="91"/>
        <v>231758</v>
      </c>
      <c r="BE60" s="242">
        <f>BC60</f>
        <v>231758</v>
      </c>
      <c r="BF60" s="243">
        <f t="shared" ref="BF60:BH61" si="124">BE60</f>
        <v>231758</v>
      </c>
      <c r="BG60" s="243">
        <f t="shared" si="124"/>
        <v>231758</v>
      </c>
      <c r="BH60" s="243">
        <f t="shared" si="124"/>
        <v>231758</v>
      </c>
      <c r="BI60" s="269">
        <f t="shared" si="93"/>
        <v>231758</v>
      </c>
    </row>
    <row r="61" spans="1:61">
      <c r="A61" s="214" t="s">
        <v>32</v>
      </c>
      <c r="C61" s="747">
        <v>60915</v>
      </c>
      <c r="D61" s="748">
        <v>60388</v>
      </c>
      <c r="E61" s="748">
        <v>56546</v>
      </c>
      <c r="F61" s="748">
        <v>58983</v>
      </c>
      <c r="G61" s="749">
        <v>58983</v>
      </c>
      <c r="I61" s="747">
        <v>53157</v>
      </c>
      <c r="J61" s="748">
        <v>53191</v>
      </c>
      <c r="K61" s="748">
        <v>53235</v>
      </c>
      <c r="L61" s="748">
        <v>52245</v>
      </c>
      <c r="M61" s="749">
        <v>52245</v>
      </c>
      <c r="O61" s="747">
        <v>55745</v>
      </c>
      <c r="P61" s="748">
        <v>68951</v>
      </c>
      <c r="Q61" s="748">
        <v>88560</v>
      </c>
      <c r="R61" s="748">
        <v>80396</v>
      </c>
      <c r="S61" s="749">
        <v>80396</v>
      </c>
      <c r="U61" s="747">
        <v>129148</v>
      </c>
      <c r="V61" s="748">
        <v>137190</v>
      </c>
      <c r="W61" s="748">
        <v>141609</v>
      </c>
      <c r="X61" s="748">
        <v>119619</v>
      </c>
      <c r="Y61" s="749">
        <v>119619</v>
      </c>
      <c r="AA61" s="747">
        <v>119195</v>
      </c>
      <c r="AB61" s="748">
        <v>126885</v>
      </c>
      <c r="AC61" s="748">
        <v>130089</v>
      </c>
      <c r="AD61" s="748">
        <v>137850</v>
      </c>
      <c r="AE61" s="749">
        <v>137850</v>
      </c>
      <c r="AG61" s="747">
        <v>141322</v>
      </c>
      <c r="AH61" s="755">
        <v>123807</v>
      </c>
      <c r="AI61" s="243">
        <f>AH61</f>
        <v>123807</v>
      </c>
      <c r="AJ61" s="243">
        <f>AI61</f>
        <v>123807</v>
      </c>
      <c r="AK61" s="269">
        <f t="shared" si="85"/>
        <v>123807</v>
      </c>
      <c r="AM61" s="242">
        <f>AK61</f>
        <v>123807</v>
      </c>
      <c r="AN61" s="243">
        <f t="shared" ref="AN61:AP61" si="125">AM61</f>
        <v>123807</v>
      </c>
      <c r="AO61" s="243">
        <f t="shared" si="125"/>
        <v>123807</v>
      </c>
      <c r="AP61" s="243">
        <f t="shared" si="125"/>
        <v>123807</v>
      </c>
      <c r="AQ61" s="269">
        <f t="shared" si="87"/>
        <v>123807</v>
      </c>
      <c r="AS61" s="242">
        <f>AQ61</f>
        <v>123807</v>
      </c>
      <c r="AT61" s="243">
        <f t="shared" si="122"/>
        <v>123807</v>
      </c>
      <c r="AU61" s="243">
        <f t="shared" si="122"/>
        <v>123807</v>
      </c>
      <c r="AV61" s="243">
        <f t="shared" si="122"/>
        <v>123807</v>
      </c>
      <c r="AW61" s="269">
        <f t="shared" si="89"/>
        <v>123807</v>
      </c>
      <c r="AY61" s="242">
        <f>AW61</f>
        <v>123807</v>
      </c>
      <c r="AZ61" s="243">
        <f t="shared" si="123"/>
        <v>123807</v>
      </c>
      <c r="BA61" s="243">
        <f t="shared" si="123"/>
        <v>123807</v>
      </c>
      <c r="BB61" s="243">
        <f t="shared" si="123"/>
        <v>123807</v>
      </c>
      <c r="BC61" s="269">
        <f t="shared" si="91"/>
        <v>123807</v>
      </c>
      <c r="BE61" s="242">
        <f>BC61</f>
        <v>123807</v>
      </c>
      <c r="BF61" s="243">
        <f t="shared" si="124"/>
        <v>123807</v>
      </c>
      <c r="BG61" s="243">
        <f t="shared" si="124"/>
        <v>123807</v>
      </c>
      <c r="BH61" s="243">
        <f t="shared" si="124"/>
        <v>123807</v>
      </c>
      <c r="BI61" s="269">
        <f t="shared" si="93"/>
        <v>123807</v>
      </c>
    </row>
    <row r="62" spans="1:61">
      <c r="A62" s="336" t="s">
        <v>33</v>
      </c>
      <c r="C62" s="337">
        <f>C57+SUM(C58:C61)</f>
        <v>2708716</v>
      </c>
      <c r="D62" s="338">
        <f t="shared" ref="D62:BH62" si="126">D57+SUM(D58:D61)</f>
        <v>2861381</v>
      </c>
      <c r="E62" s="338">
        <f t="shared" si="126"/>
        <v>2655270</v>
      </c>
      <c r="F62" s="338">
        <f t="shared" si="126"/>
        <v>2335971</v>
      </c>
      <c r="G62" s="339">
        <f t="shared" si="126"/>
        <v>2335971</v>
      </c>
      <c r="I62" s="337">
        <f t="shared" si="126"/>
        <v>2566994</v>
      </c>
      <c r="J62" s="338">
        <f t="shared" si="126"/>
        <v>2545840</v>
      </c>
      <c r="K62" s="338">
        <f t="shared" si="126"/>
        <v>2518758</v>
      </c>
      <c r="L62" s="338">
        <f t="shared" si="126"/>
        <v>2424537</v>
      </c>
      <c r="M62" s="339">
        <f t="shared" si="126"/>
        <v>2424537</v>
      </c>
      <c r="O62" s="337">
        <f t="shared" si="126"/>
        <v>2727820</v>
      </c>
      <c r="P62" s="338">
        <f t="shared" si="126"/>
        <v>2848744</v>
      </c>
      <c r="Q62" s="338">
        <f t="shared" si="126"/>
        <v>3007069</v>
      </c>
      <c r="R62" s="338">
        <f t="shared" si="126"/>
        <v>3020888</v>
      </c>
      <c r="S62" s="339">
        <f t="shared" si="126"/>
        <v>3020888</v>
      </c>
      <c r="U62" s="337">
        <f t="shared" si="126"/>
        <v>4395561</v>
      </c>
      <c r="V62" s="338">
        <f t="shared" si="126"/>
        <v>5143639</v>
      </c>
      <c r="W62" s="338">
        <f t="shared" si="126"/>
        <v>5285722</v>
      </c>
      <c r="X62" s="338">
        <f t="shared" si="126"/>
        <v>5911862</v>
      </c>
      <c r="Y62" s="339">
        <f t="shared" si="126"/>
        <v>5911862</v>
      </c>
      <c r="AA62" s="337">
        <f t="shared" si="126"/>
        <v>6915138</v>
      </c>
      <c r="AB62" s="338">
        <f t="shared" si="126"/>
        <v>6949549</v>
      </c>
      <c r="AC62" s="338">
        <f t="shared" si="126"/>
        <v>6313095</v>
      </c>
      <c r="AD62" s="338">
        <f t="shared" si="126"/>
        <v>5632594</v>
      </c>
      <c r="AE62" s="339">
        <f t="shared" si="126"/>
        <v>5632594</v>
      </c>
      <c r="AG62" s="337">
        <f t="shared" si="126"/>
        <v>5819684</v>
      </c>
      <c r="AH62" s="344">
        <f t="shared" si="126"/>
        <v>6391052</v>
      </c>
      <c r="AI62" s="338">
        <f t="shared" si="126"/>
        <v>6364496.1949322969</v>
      </c>
      <c r="AJ62" s="338">
        <f t="shared" si="126"/>
        <v>6178515.3861713717</v>
      </c>
      <c r="AK62" s="350">
        <f t="shared" si="85"/>
        <v>6178515.3861713717</v>
      </c>
      <c r="AM62" s="337">
        <f t="shared" si="126"/>
        <v>6415636.0176337678</v>
      </c>
      <c r="AN62" s="338">
        <f t="shared" si="126"/>
        <v>6481907.832144076</v>
      </c>
      <c r="AO62" s="338">
        <f t="shared" si="126"/>
        <v>6623964.63154299</v>
      </c>
      <c r="AP62" s="338">
        <f t="shared" si="126"/>
        <v>6253582.7263141824</v>
      </c>
      <c r="AQ62" s="350">
        <f t="shared" si="87"/>
        <v>6253582.7263141824</v>
      </c>
      <c r="AS62" s="337">
        <f t="shared" si="126"/>
        <v>6415315.2427700507</v>
      </c>
      <c r="AT62" s="338">
        <f t="shared" si="126"/>
        <v>6585442.9412313448</v>
      </c>
      <c r="AU62" s="338">
        <f t="shared" si="126"/>
        <v>6705009.4871247336</v>
      </c>
      <c r="AV62" s="338">
        <f t="shared" si="126"/>
        <v>6431148.5691316817</v>
      </c>
      <c r="AW62" s="350">
        <f t="shared" si="89"/>
        <v>6431148.5691316817</v>
      </c>
      <c r="AY62" s="337">
        <f t="shared" si="126"/>
        <v>6491055.5098242098</v>
      </c>
      <c r="AZ62" s="338">
        <f t="shared" si="126"/>
        <v>6589986.3254541904</v>
      </c>
      <c r="BA62" s="338">
        <f t="shared" si="126"/>
        <v>6798111.2472380856</v>
      </c>
      <c r="BB62" s="338">
        <f t="shared" si="126"/>
        <v>6441633.9196267836</v>
      </c>
      <c r="BC62" s="350">
        <f t="shared" si="91"/>
        <v>6441633.9196267836</v>
      </c>
      <c r="BE62" s="337">
        <f t="shared" si="126"/>
        <v>6504608.6522021499</v>
      </c>
      <c r="BF62" s="338">
        <f t="shared" si="126"/>
        <v>6860273.7638998022</v>
      </c>
      <c r="BG62" s="338">
        <f t="shared" si="126"/>
        <v>6965043.1522165556</v>
      </c>
      <c r="BH62" s="338">
        <f t="shared" si="126"/>
        <v>6591466.5561780408</v>
      </c>
      <c r="BI62" s="350">
        <f t="shared" si="93"/>
        <v>6591466.5561780408</v>
      </c>
    </row>
    <row r="63" spans="1:61">
      <c r="A63" s="211" t="s">
        <v>36</v>
      </c>
      <c r="C63" s="267"/>
      <c r="D63" s="268"/>
      <c r="E63" s="268"/>
      <c r="F63" s="243"/>
      <c r="G63" s="269"/>
      <c r="I63" s="267"/>
      <c r="J63" s="268"/>
      <c r="K63" s="268"/>
      <c r="L63" s="243"/>
      <c r="M63" s="269"/>
      <c r="O63" s="267"/>
      <c r="P63" s="268"/>
      <c r="Q63" s="268"/>
      <c r="R63" s="243"/>
      <c r="S63" s="269"/>
      <c r="U63" s="267"/>
      <c r="V63" s="268"/>
      <c r="W63" s="268"/>
      <c r="X63" s="243"/>
      <c r="Y63" s="269"/>
      <c r="AA63" s="267"/>
      <c r="AB63" s="268" t="s">
        <v>85</v>
      </c>
      <c r="AC63" s="268" t="s">
        <v>85</v>
      </c>
      <c r="AD63" s="243" t="s">
        <v>85</v>
      </c>
      <c r="AE63" s="269" t="s">
        <v>85</v>
      </c>
      <c r="AG63" s="267" t="s">
        <v>85</v>
      </c>
      <c r="AH63" s="225" t="s">
        <v>85</v>
      </c>
      <c r="AI63" s="268"/>
      <c r="AJ63" s="268"/>
      <c r="AK63" s="269">
        <f t="shared" si="85"/>
        <v>0</v>
      </c>
      <c r="AM63" s="267"/>
      <c r="AN63" s="268"/>
      <c r="AO63" s="268"/>
      <c r="AP63" s="268"/>
      <c r="AQ63" s="269">
        <f t="shared" si="87"/>
        <v>0</v>
      </c>
      <c r="AS63" s="267"/>
      <c r="AT63" s="268"/>
      <c r="AU63" s="268"/>
      <c r="AV63" s="268"/>
      <c r="AW63" s="269">
        <f t="shared" si="89"/>
        <v>0</v>
      </c>
      <c r="AY63" s="267"/>
      <c r="AZ63" s="268"/>
      <c r="BA63" s="268"/>
      <c r="BB63" s="268"/>
      <c r="BC63" s="269">
        <f t="shared" si="91"/>
        <v>0</v>
      </c>
      <c r="BE63" s="267"/>
      <c r="BF63" s="268"/>
      <c r="BG63" s="268"/>
      <c r="BH63" s="268"/>
      <c r="BI63" s="269">
        <f t="shared" si="93"/>
        <v>0</v>
      </c>
    </row>
    <row r="64" spans="1:61">
      <c r="A64" s="214" t="s">
        <v>120</v>
      </c>
      <c r="C64" s="747">
        <v>1146</v>
      </c>
      <c r="D64" s="748">
        <v>1147</v>
      </c>
      <c r="E64" s="748">
        <v>1147</v>
      </c>
      <c r="F64" s="748">
        <v>1151</v>
      </c>
      <c r="G64" s="749">
        <v>1151</v>
      </c>
      <c r="I64" s="747">
        <v>1156</v>
      </c>
      <c r="J64" s="748">
        <v>1159</v>
      </c>
      <c r="K64" s="748">
        <v>1158</v>
      </c>
      <c r="L64" s="748">
        <v>1161</v>
      </c>
      <c r="M64" s="749">
        <v>1161</v>
      </c>
      <c r="O64" s="747">
        <v>1165</v>
      </c>
      <c r="P64" s="748">
        <v>1167</v>
      </c>
      <c r="Q64" s="748">
        <v>1168</v>
      </c>
      <c r="R64" s="748">
        <v>1168</v>
      </c>
      <c r="S64" s="749">
        <v>1168</v>
      </c>
      <c r="U64" s="747">
        <v>2069</v>
      </c>
      <c r="V64" s="748">
        <v>2072</v>
      </c>
      <c r="W64" s="748">
        <v>1963</v>
      </c>
      <c r="X64" s="748">
        <v>1798</v>
      </c>
      <c r="Y64" s="749">
        <v>1798</v>
      </c>
      <c r="AA64" s="747">
        <v>1769</v>
      </c>
      <c r="AB64" s="748">
        <v>1602</v>
      </c>
      <c r="AC64" s="748">
        <v>1490</v>
      </c>
      <c r="AD64" s="748">
        <v>1389</v>
      </c>
      <c r="AE64" s="749">
        <v>1389</v>
      </c>
      <c r="AG64" s="747">
        <v>1318</v>
      </c>
      <c r="AH64" s="755">
        <v>1250</v>
      </c>
      <c r="AI64" s="243">
        <f>AH64</f>
        <v>1250</v>
      </c>
      <c r="AJ64" s="243">
        <f>AI64</f>
        <v>1250</v>
      </c>
      <c r="AK64" s="269">
        <f t="shared" si="85"/>
        <v>1250</v>
      </c>
      <c r="AM64" s="242">
        <f>AK64</f>
        <v>1250</v>
      </c>
      <c r="AN64" s="243">
        <f t="shared" ref="AN64:AP64" si="127">AM64</f>
        <v>1250</v>
      </c>
      <c r="AO64" s="243">
        <f t="shared" si="127"/>
        <v>1250</v>
      </c>
      <c r="AP64" s="243">
        <f t="shared" si="127"/>
        <v>1250</v>
      </c>
      <c r="AQ64" s="269">
        <f t="shared" si="87"/>
        <v>1250</v>
      </c>
      <c r="AS64" s="242">
        <f>AQ64</f>
        <v>1250</v>
      </c>
      <c r="AT64" s="243">
        <f t="shared" ref="AT64:AV64" si="128">AS64</f>
        <v>1250</v>
      </c>
      <c r="AU64" s="243">
        <f t="shared" si="128"/>
        <v>1250</v>
      </c>
      <c r="AV64" s="243">
        <f t="shared" si="128"/>
        <v>1250</v>
      </c>
      <c r="AW64" s="269">
        <f t="shared" si="89"/>
        <v>1250</v>
      </c>
      <c r="AY64" s="242">
        <f>AW64</f>
        <v>1250</v>
      </c>
      <c r="AZ64" s="243">
        <f t="shared" ref="AZ64:BB64" si="129">AY64</f>
        <v>1250</v>
      </c>
      <c r="BA64" s="243">
        <f t="shared" si="129"/>
        <v>1250</v>
      </c>
      <c r="BB64" s="243">
        <f t="shared" si="129"/>
        <v>1250</v>
      </c>
      <c r="BC64" s="269">
        <f t="shared" si="91"/>
        <v>1250</v>
      </c>
      <c r="BE64" s="242">
        <f>BC64</f>
        <v>1250</v>
      </c>
      <c r="BF64" s="243">
        <f t="shared" ref="BF64:BH64" si="130">BE64</f>
        <v>1250</v>
      </c>
      <c r="BG64" s="243">
        <f t="shared" si="130"/>
        <v>1250</v>
      </c>
      <c r="BH64" s="243">
        <f t="shared" si="130"/>
        <v>1250</v>
      </c>
      <c r="BI64" s="269">
        <f t="shared" si="93"/>
        <v>1250</v>
      </c>
    </row>
    <row r="65" spans="1:61">
      <c r="A65" s="214" t="s">
        <v>39</v>
      </c>
      <c r="C65" s="747">
        <v>546832</v>
      </c>
      <c r="D65" s="748">
        <v>550707</v>
      </c>
      <c r="E65" s="748">
        <v>554223</v>
      </c>
      <c r="F65" s="748">
        <v>560221</v>
      </c>
      <c r="G65" s="749">
        <v>560221</v>
      </c>
      <c r="I65" s="747">
        <v>560641</v>
      </c>
      <c r="J65" s="748">
        <v>565694</v>
      </c>
      <c r="K65" s="748">
        <v>570373</v>
      </c>
      <c r="L65" s="748">
        <v>574955</v>
      </c>
      <c r="M65" s="749">
        <v>574955</v>
      </c>
      <c r="O65" s="747">
        <v>574769</v>
      </c>
      <c r="P65" s="748">
        <v>578239</v>
      </c>
      <c r="Q65" s="748">
        <v>584237</v>
      </c>
      <c r="R65" s="748">
        <v>589241</v>
      </c>
      <c r="S65" s="749">
        <v>589241</v>
      </c>
      <c r="U65" s="747">
        <v>4246922</v>
      </c>
      <c r="V65" s="748">
        <v>4248194</v>
      </c>
      <c r="W65" s="748">
        <v>4254262</v>
      </c>
      <c r="X65" s="748">
        <v>4260670</v>
      </c>
      <c r="Y65" s="749">
        <v>4260670</v>
      </c>
      <c r="AA65" s="747">
        <v>4240540</v>
      </c>
      <c r="AB65" s="748">
        <v>4244374</v>
      </c>
      <c r="AC65" s="748">
        <v>4252851</v>
      </c>
      <c r="AD65" s="748">
        <v>4257667</v>
      </c>
      <c r="AE65" s="749">
        <v>4257667</v>
      </c>
      <c r="AG65" s="747">
        <v>4246151</v>
      </c>
      <c r="AH65" s="755">
        <v>4249053</v>
      </c>
      <c r="AI65" s="268">
        <f>AH65+AI86</f>
        <v>4186827.3333333335</v>
      </c>
      <c r="AJ65" s="268">
        <f>AI65+AJ86</f>
        <v>4124601.666666667</v>
      </c>
      <c r="AK65" s="269">
        <f>AJ65</f>
        <v>4124601.666666667</v>
      </c>
      <c r="AM65" s="267">
        <f>AK65+AM86</f>
        <v>4062376.0000000005</v>
      </c>
      <c r="AN65" s="268">
        <f t="shared" ref="AN65:BH65" si="131">AM65+AN86</f>
        <v>4000150.333333334</v>
      </c>
      <c r="AO65" s="268">
        <f t="shared" si="131"/>
        <v>3937924.6666666674</v>
      </c>
      <c r="AP65" s="268">
        <f t="shared" si="131"/>
        <v>3875699.0000000009</v>
      </c>
      <c r="AQ65" s="269">
        <f>AP65</f>
        <v>3875699.0000000009</v>
      </c>
      <c r="AS65" s="267">
        <f>AQ65+AS86</f>
        <v>3875699.0000000009</v>
      </c>
      <c r="AT65" s="268">
        <f t="shared" si="131"/>
        <v>3875699.0000000009</v>
      </c>
      <c r="AU65" s="268">
        <f t="shared" si="131"/>
        <v>3875699.0000000009</v>
      </c>
      <c r="AV65" s="268">
        <f t="shared" si="131"/>
        <v>3875699.0000000009</v>
      </c>
      <c r="AW65" s="269">
        <f>AV65</f>
        <v>3875699.0000000009</v>
      </c>
      <c r="AY65" s="267">
        <f>AW65+AY86</f>
        <v>3875699.0000000009</v>
      </c>
      <c r="AZ65" s="268">
        <f t="shared" si="131"/>
        <v>3875699.0000000009</v>
      </c>
      <c r="BA65" s="268">
        <f t="shared" si="131"/>
        <v>3875699.0000000009</v>
      </c>
      <c r="BB65" s="268">
        <f t="shared" si="131"/>
        <v>3875699.0000000009</v>
      </c>
      <c r="BC65" s="269">
        <f>BB65</f>
        <v>3875699.0000000009</v>
      </c>
      <c r="BE65" s="267">
        <f>BC65+BE86</f>
        <v>3875699.0000000009</v>
      </c>
      <c r="BF65" s="268">
        <f t="shared" si="131"/>
        <v>3875699.0000000009</v>
      </c>
      <c r="BG65" s="268">
        <f t="shared" si="131"/>
        <v>3875699.0000000009</v>
      </c>
      <c r="BH65" s="268">
        <f t="shared" si="131"/>
        <v>3875699.0000000009</v>
      </c>
      <c r="BI65" s="269">
        <f>BH65</f>
        <v>3875699.0000000009</v>
      </c>
    </row>
    <row r="66" spans="1:61">
      <c r="A66" s="214" t="s">
        <v>49</v>
      </c>
      <c r="C66" s="747">
        <v>-147005</v>
      </c>
      <c r="D66" s="748">
        <v>-90383</v>
      </c>
      <c r="E66" s="748">
        <v>-17055</v>
      </c>
      <c r="F66" s="748">
        <v>34966</v>
      </c>
      <c r="G66" s="749">
        <v>34966</v>
      </c>
      <c r="I66" s="747">
        <v>70674</v>
      </c>
      <c r="J66" s="748">
        <v>137278</v>
      </c>
      <c r="K66" s="748">
        <v>207470</v>
      </c>
      <c r="L66" s="748">
        <v>248837</v>
      </c>
      <c r="M66" s="749">
        <v>248837</v>
      </c>
      <c r="O66" s="747">
        <v>257604</v>
      </c>
      <c r="P66" s="748">
        <v>336528</v>
      </c>
      <c r="Q66" s="748">
        <v>422460</v>
      </c>
      <c r="R66" s="748">
        <v>562374</v>
      </c>
      <c r="S66" s="749">
        <v>562374</v>
      </c>
      <c r="U66" s="747">
        <v>734954</v>
      </c>
      <c r="V66" s="748">
        <v>1232189</v>
      </c>
      <c r="W66" s="748">
        <v>1267201</v>
      </c>
      <c r="X66" s="748">
        <v>540013</v>
      </c>
      <c r="Y66" s="749">
        <v>540013</v>
      </c>
      <c r="AA66" s="747">
        <v>893738</v>
      </c>
      <c r="AB66" s="748">
        <v>890377</v>
      </c>
      <c r="AC66" s="748">
        <v>970262</v>
      </c>
      <c r="AD66" s="748">
        <v>703510</v>
      </c>
      <c r="AE66" s="749">
        <v>703510</v>
      </c>
      <c r="AG66" s="747">
        <v>409763</v>
      </c>
      <c r="AH66" s="755">
        <v>91757</v>
      </c>
      <c r="AI66" s="268">
        <f>AH66+AI17</f>
        <v>587238.59853015095</v>
      </c>
      <c r="AJ66" s="268">
        <f>AI66+AJ17</f>
        <v>955414.72619018517</v>
      </c>
      <c r="AK66" s="269">
        <f t="shared" si="85"/>
        <v>955414.72619018517</v>
      </c>
      <c r="AM66" s="267">
        <f>AK66+AM17</f>
        <v>1252485.3707871202</v>
      </c>
      <c r="AN66" s="268">
        <f t="shared" ref="AN66" si="132">AM66+AN17</f>
        <v>1625857.0978916301</v>
      </c>
      <c r="AO66" s="268">
        <f>AN66+AO17</f>
        <v>2087255.4171465128</v>
      </c>
      <c r="AP66" s="268">
        <f>AO66+AP17</f>
        <v>2408467.4182136683</v>
      </c>
      <c r="AQ66" s="269">
        <f t="shared" si="87"/>
        <v>2408467.4182136683</v>
      </c>
      <c r="AS66" s="267">
        <f>AQ66+AS17</f>
        <v>2780128.3943290995</v>
      </c>
      <c r="AT66" s="268">
        <f t="shared" ref="AT66:AV66" si="133">AS66+AT17</f>
        <v>3229583.6604546695</v>
      </c>
      <c r="AU66" s="268">
        <f t="shared" si="133"/>
        <v>3811515.2572741387</v>
      </c>
      <c r="AV66" s="268">
        <f t="shared" si="133"/>
        <v>4173302.4129395098</v>
      </c>
      <c r="AW66" s="269">
        <f t="shared" si="89"/>
        <v>4173302.4129395098</v>
      </c>
      <c r="AY66" s="267">
        <f>AW66+AY17</f>
        <v>4568331.3713880144</v>
      </c>
      <c r="AZ66" s="268">
        <f t="shared" ref="AZ66:BB66" si="134">AY66+AZ17</f>
        <v>5185836.6631737482</v>
      </c>
      <c r="BA66" s="268">
        <f t="shared" si="134"/>
        <v>5962096.3226653617</v>
      </c>
      <c r="BB66" s="268">
        <f t="shared" si="134"/>
        <v>6465851.5804422647</v>
      </c>
      <c r="BC66" s="269">
        <f t="shared" si="91"/>
        <v>6465851.5804422647</v>
      </c>
      <c r="BE66" s="267">
        <f>BC66+BE17</f>
        <v>6886097.685499385</v>
      </c>
      <c r="BF66" s="268">
        <f t="shared" ref="BF66:BH66" si="135">BE66+BF17</f>
        <v>7594351.6774196215</v>
      </c>
      <c r="BG66" s="268">
        <f t="shared" si="135"/>
        <v>8430973.7687458098</v>
      </c>
      <c r="BH66" s="268">
        <f t="shared" si="135"/>
        <v>8959456.0668222401</v>
      </c>
      <c r="BI66" s="269">
        <f t="shared" si="93"/>
        <v>8959456.0668222401</v>
      </c>
    </row>
    <row r="67" spans="1:61">
      <c r="A67" s="336" t="s">
        <v>40</v>
      </c>
      <c r="C67" s="337">
        <f>SUM(C64:C66)</f>
        <v>400973</v>
      </c>
      <c r="D67" s="338">
        <f t="shared" ref="D67:BH67" si="136">SUM(D64:D66)</f>
        <v>461471</v>
      </c>
      <c r="E67" s="338">
        <f t="shared" si="136"/>
        <v>538315</v>
      </c>
      <c r="F67" s="338">
        <f t="shared" si="136"/>
        <v>596338</v>
      </c>
      <c r="G67" s="339">
        <f t="shared" si="136"/>
        <v>596338</v>
      </c>
      <c r="I67" s="337">
        <f t="shared" si="136"/>
        <v>632471</v>
      </c>
      <c r="J67" s="338">
        <f t="shared" si="136"/>
        <v>704131</v>
      </c>
      <c r="K67" s="338">
        <f t="shared" si="136"/>
        <v>779001</v>
      </c>
      <c r="L67" s="338">
        <f t="shared" si="136"/>
        <v>824953</v>
      </c>
      <c r="M67" s="339">
        <f t="shared" si="136"/>
        <v>824953</v>
      </c>
      <c r="O67" s="337">
        <f t="shared" si="136"/>
        <v>833538</v>
      </c>
      <c r="P67" s="338">
        <f t="shared" si="136"/>
        <v>915934</v>
      </c>
      <c r="Q67" s="338">
        <f t="shared" si="136"/>
        <v>1007865</v>
      </c>
      <c r="R67" s="338">
        <f t="shared" si="136"/>
        <v>1152783</v>
      </c>
      <c r="S67" s="339">
        <f t="shared" si="136"/>
        <v>1152783</v>
      </c>
      <c r="U67" s="337">
        <f t="shared" si="136"/>
        <v>4983945</v>
      </c>
      <c r="V67" s="338">
        <f t="shared" si="136"/>
        <v>5482455</v>
      </c>
      <c r="W67" s="338">
        <f t="shared" si="136"/>
        <v>5523426</v>
      </c>
      <c r="X67" s="338">
        <f t="shared" si="136"/>
        <v>4802481</v>
      </c>
      <c r="Y67" s="339">
        <f t="shared" si="136"/>
        <v>4802481</v>
      </c>
      <c r="AA67" s="337">
        <f t="shared" si="136"/>
        <v>5136047</v>
      </c>
      <c r="AB67" s="338">
        <f t="shared" si="136"/>
        <v>5136353</v>
      </c>
      <c r="AC67" s="338">
        <f t="shared" si="136"/>
        <v>5224603</v>
      </c>
      <c r="AD67" s="338">
        <f t="shared" si="136"/>
        <v>4962566</v>
      </c>
      <c r="AE67" s="339">
        <f t="shared" si="136"/>
        <v>4962566</v>
      </c>
      <c r="AG67" s="337">
        <f t="shared" si="136"/>
        <v>4657232</v>
      </c>
      <c r="AH67" s="344">
        <f t="shared" si="136"/>
        <v>4342060</v>
      </c>
      <c r="AI67" s="338">
        <f>SUM(AI64:AI66)</f>
        <v>4775315.9318634849</v>
      </c>
      <c r="AJ67" s="338">
        <f>SUM(AJ64:AJ66)</f>
        <v>5081266.3928568522</v>
      </c>
      <c r="AK67" s="350">
        <f t="shared" si="85"/>
        <v>5081266.3928568522</v>
      </c>
      <c r="AM67" s="337">
        <f t="shared" si="136"/>
        <v>5316111.3707871204</v>
      </c>
      <c r="AN67" s="338">
        <f t="shared" si="136"/>
        <v>5627257.4312249646</v>
      </c>
      <c r="AO67" s="338">
        <f t="shared" si="136"/>
        <v>6026430.0838131802</v>
      </c>
      <c r="AP67" s="338">
        <f>SUM(AP64:AP66)</f>
        <v>6285416.4182136692</v>
      </c>
      <c r="AQ67" s="350">
        <f t="shared" si="87"/>
        <v>6285416.4182136692</v>
      </c>
      <c r="AS67" s="337">
        <f t="shared" si="136"/>
        <v>6657077.3943291008</v>
      </c>
      <c r="AT67" s="338">
        <f t="shared" si="136"/>
        <v>7106532.66045467</v>
      </c>
      <c r="AU67" s="338">
        <f t="shared" si="136"/>
        <v>7688464.2572741397</v>
      </c>
      <c r="AV67" s="338">
        <f t="shared" si="136"/>
        <v>8050251.4129395112</v>
      </c>
      <c r="AW67" s="350">
        <f t="shared" si="89"/>
        <v>8050251.4129395112</v>
      </c>
      <c r="AY67" s="337">
        <f t="shared" si="136"/>
        <v>8445280.3713880144</v>
      </c>
      <c r="AZ67" s="338">
        <f t="shared" si="136"/>
        <v>9062785.66317375</v>
      </c>
      <c r="BA67" s="338">
        <f t="shared" si="136"/>
        <v>9839045.3226653636</v>
      </c>
      <c r="BB67" s="338">
        <f t="shared" si="136"/>
        <v>10342800.580442265</v>
      </c>
      <c r="BC67" s="350">
        <f t="shared" si="91"/>
        <v>10342800.580442265</v>
      </c>
      <c r="BE67" s="337">
        <f t="shared" si="136"/>
        <v>10763046.685499385</v>
      </c>
      <c r="BF67" s="338">
        <f t="shared" si="136"/>
        <v>11471300.677419621</v>
      </c>
      <c r="BG67" s="338">
        <f t="shared" si="136"/>
        <v>12307922.76874581</v>
      </c>
      <c r="BH67" s="338">
        <f t="shared" si="136"/>
        <v>12836405.066822242</v>
      </c>
      <c r="BI67" s="350">
        <f t="shared" si="93"/>
        <v>12836405.066822242</v>
      </c>
    </row>
    <row r="68" spans="1:61">
      <c r="A68" s="336" t="s">
        <v>41</v>
      </c>
      <c r="C68" s="337">
        <f>C62+C67</f>
        <v>3109689</v>
      </c>
      <c r="D68" s="338">
        <f t="shared" ref="D68:BH68" si="137">D62+D67</f>
        <v>3322852</v>
      </c>
      <c r="E68" s="338">
        <f t="shared" si="137"/>
        <v>3193585</v>
      </c>
      <c r="F68" s="338">
        <f t="shared" si="137"/>
        <v>2932309</v>
      </c>
      <c r="G68" s="339">
        <f t="shared" si="137"/>
        <v>2932309</v>
      </c>
      <c r="I68" s="337">
        <f t="shared" si="137"/>
        <v>3199465</v>
      </c>
      <c r="J68" s="338">
        <f t="shared" si="137"/>
        <v>3249971</v>
      </c>
      <c r="K68" s="338">
        <f t="shared" si="137"/>
        <v>3297759</v>
      </c>
      <c r="L68" s="338">
        <f t="shared" si="137"/>
        <v>3249490</v>
      </c>
      <c r="M68" s="339">
        <f t="shared" si="137"/>
        <v>3249490</v>
      </c>
      <c r="O68" s="337">
        <f t="shared" si="137"/>
        <v>3561358</v>
      </c>
      <c r="P68" s="338">
        <f t="shared" si="137"/>
        <v>3764678</v>
      </c>
      <c r="Q68" s="338">
        <f t="shared" si="137"/>
        <v>4014934</v>
      </c>
      <c r="R68" s="338">
        <f t="shared" si="137"/>
        <v>4173671</v>
      </c>
      <c r="S68" s="339">
        <f t="shared" si="137"/>
        <v>4173671</v>
      </c>
      <c r="U68" s="337">
        <f t="shared" si="137"/>
        <v>9379506</v>
      </c>
      <c r="V68" s="338">
        <f t="shared" si="137"/>
        <v>10626094</v>
      </c>
      <c r="W68" s="338">
        <f t="shared" si="137"/>
        <v>10809148</v>
      </c>
      <c r="X68" s="338">
        <f t="shared" si="137"/>
        <v>10714343</v>
      </c>
      <c r="Y68" s="339">
        <f t="shared" si="137"/>
        <v>10714343</v>
      </c>
      <c r="AA68" s="337">
        <f t="shared" si="137"/>
        <v>12051185</v>
      </c>
      <c r="AB68" s="338">
        <f t="shared" si="137"/>
        <v>12085902</v>
      </c>
      <c r="AC68" s="338">
        <f t="shared" si="137"/>
        <v>11537698</v>
      </c>
      <c r="AD68" s="338">
        <f t="shared" si="137"/>
        <v>10595160</v>
      </c>
      <c r="AE68" s="339">
        <f t="shared" si="137"/>
        <v>10595160</v>
      </c>
      <c r="AG68" s="337">
        <f t="shared" si="137"/>
        <v>10476916</v>
      </c>
      <c r="AH68" s="344">
        <f t="shared" si="137"/>
        <v>10733112</v>
      </c>
      <c r="AI68" s="338">
        <f>AI62+AI67</f>
        <v>11139812.126795782</v>
      </c>
      <c r="AJ68" s="338">
        <f>AJ62+AJ67</f>
        <v>11259781.779028224</v>
      </c>
      <c r="AK68" s="350">
        <f t="shared" si="85"/>
        <v>11259781.779028224</v>
      </c>
      <c r="AM68" s="337">
        <f t="shared" si="137"/>
        <v>11731747.388420887</v>
      </c>
      <c r="AN68" s="338">
        <f t="shared" si="137"/>
        <v>12109165.263369041</v>
      </c>
      <c r="AO68" s="338">
        <f t="shared" si="137"/>
        <v>12650394.715356171</v>
      </c>
      <c r="AP68" s="338">
        <f t="shared" si="137"/>
        <v>12538999.144527853</v>
      </c>
      <c r="AQ68" s="350">
        <f t="shared" si="87"/>
        <v>12538999.144527853</v>
      </c>
      <c r="AS68" s="337">
        <f t="shared" si="137"/>
        <v>13072392.637099151</v>
      </c>
      <c r="AT68" s="338">
        <f t="shared" si="137"/>
        <v>13691975.601686016</v>
      </c>
      <c r="AU68" s="338">
        <f t="shared" si="137"/>
        <v>14393473.744398873</v>
      </c>
      <c r="AV68" s="338">
        <f t="shared" si="137"/>
        <v>14481399.982071193</v>
      </c>
      <c r="AW68" s="350">
        <f t="shared" si="89"/>
        <v>14481399.982071193</v>
      </c>
      <c r="AY68" s="337">
        <f t="shared" si="137"/>
        <v>14936335.881212223</v>
      </c>
      <c r="AZ68" s="338">
        <f t="shared" si="137"/>
        <v>15652771.98862794</v>
      </c>
      <c r="BA68" s="338">
        <f t="shared" si="137"/>
        <v>16637156.569903448</v>
      </c>
      <c r="BB68" s="338">
        <f t="shared" si="137"/>
        <v>16784434.500069048</v>
      </c>
      <c r="BC68" s="350">
        <f t="shared" si="91"/>
        <v>16784434.500069048</v>
      </c>
      <c r="BE68" s="337">
        <f t="shared" si="137"/>
        <v>17267655.337701537</v>
      </c>
      <c r="BF68" s="338">
        <f t="shared" si="137"/>
        <v>18331574.441319425</v>
      </c>
      <c r="BG68" s="338">
        <f t="shared" si="137"/>
        <v>19272965.920962363</v>
      </c>
      <c r="BH68" s="338">
        <f t="shared" si="137"/>
        <v>19427871.623000283</v>
      </c>
      <c r="BI68" s="350">
        <f t="shared" si="93"/>
        <v>19427871.623000283</v>
      </c>
    </row>
    <row r="69" spans="1:61" ht="17.25" thickBot="1">
      <c r="A69" s="216" t="s">
        <v>122</v>
      </c>
      <c r="C69" s="270">
        <f>C49-C68</f>
        <v>0</v>
      </c>
      <c r="D69" s="271">
        <f t="shared" ref="D69:BI69" si="138">D49-D68</f>
        <v>0</v>
      </c>
      <c r="E69" s="271">
        <f t="shared" si="138"/>
        <v>0</v>
      </c>
      <c r="F69" s="271">
        <f t="shared" si="138"/>
        <v>0</v>
      </c>
      <c r="G69" s="272">
        <f t="shared" si="138"/>
        <v>0</v>
      </c>
      <c r="I69" s="270">
        <f t="shared" si="138"/>
        <v>0</v>
      </c>
      <c r="J69" s="271">
        <f t="shared" si="138"/>
        <v>0</v>
      </c>
      <c r="K69" s="271">
        <f t="shared" si="138"/>
        <v>0</v>
      </c>
      <c r="L69" s="271">
        <f t="shared" si="138"/>
        <v>0</v>
      </c>
      <c r="M69" s="272">
        <f t="shared" si="138"/>
        <v>0</v>
      </c>
      <c r="O69" s="270">
        <f t="shared" si="138"/>
        <v>0</v>
      </c>
      <c r="P69" s="271">
        <f t="shared" si="138"/>
        <v>0</v>
      </c>
      <c r="Q69" s="271">
        <f t="shared" si="138"/>
        <v>0</v>
      </c>
      <c r="R69" s="271">
        <f t="shared" si="138"/>
        <v>0</v>
      </c>
      <c r="S69" s="272">
        <f t="shared" si="138"/>
        <v>0</v>
      </c>
      <c r="U69" s="270">
        <f t="shared" si="138"/>
        <v>0</v>
      </c>
      <c r="V69" s="271">
        <f t="shared" si="138"/>
        <v>0</v>
      </c>
      <c r="W69" s="271">
        <f t="shared" si="138"/>
        <v>0</v>
      </c>
      <c r="X69" s="271">
        <f t="shared" si="138"/>
        <v>0</v>
      </c>
      <c r="Y69" s="272">
        <f t="shared" si="138"/>
        <v>0</v>
      </c>
      <c r="AA69" s="270">
        <f t="shared" si="138"/>
        <v>0</v>
      </c>
      <c r="AB69" s="271">
        <f t="shared" si="138"/>
        <v>0</v>
      </c>
      <c r="AC69" s="271">
        <f t="shared" si="138"/>
        <v>0</v>
      </c>
      <c r="AD69" s="271">
        <f t="shared" si="138"/>
        <v>0</v>
      </c>
      <c r="AE69" s="272">
        <f t="shared" si="138"/>
        <v>0</v>
      </c>
      <c r="AG69" s="270">
        <f t="shared" si="138"/>
        <v>0</v>
      </c>
      <c r="AH69" s="312">
        <f t="shared" si="138"/>
        <v>0</v>
      </c>
      <c r="AI69" s="271">
        <f>AI49-AI68</f>
        <v>0</v>
      </c>
      <c r="AJ69" s="271">
        <f t="shared" si="138"/>
        <v>0</v>
      </c>
      <c r="AK69" s="272">
        <f t="shared" si="138"/>
        <v>0</v>
      </c>
      <c r="AM69" s="270">
        <f t="shared" si="138"/>
        <v>0</v>
      </c>
      <c r="AN69" s="271">
        <f t="shared" si="138"/>
        <v>0</v>
      </c>
      <c r="AO69" s="271">
        <f t="shared" si="138"/>
        <v>0</v>
      </c>
      <c r="AP69" s="271">
        <f t="shared" si="138"/>
        <v>0</v>
      </c>
      <c r="AQ69" s="272">
        <f t="shared" si="138"/>
        <v>0</v>
      </c>
      <c r="AS69" s="270">
        <f t="shared" si="138"/>
        <v>0</v>
      </c>
      <c r="AT69" s="271">
        <f t="shared" si="138"/>
        <v>0</v>
      </c>
      <c r="AU69" s="271">
        <f t="shared" si="138"/>
        <v>0</v>
      </c>
      <c r="AV69" s="271">
        <f t="shared" si="138"/>
        <v>0</v>
      </c>
      <c r="AW69" s="272">
        <f t="shared" si="138"/>
        <v>0</v>
      </c>
      <c r="AY69" s="270">
        <f t="shared" si="138"/>
        <v>0</v>
      </c>
      <c r="AZ69" s="271">
        <f t="shared" si="138"/>
        <v>0</v>
      </c>
      <c r="BA69" s="271">
        <f t="shared" si="138"/>
        <v>0</v>
      </c>
      <c r="BB69" s="271">
        <f t="shared" si="138"/>
        <v>0</v>
      </c>
      <c r="BC69" s="272">
        <f t="shared" si="138"/>
        <v>0</v>
      </c>
      <c r="BE69" s="270">
        <f t="shared" si="138"/>
        <v>0</v>
      </c>
      <c r="BF69" s="271">
        <f t="shared" si="138"/>
        <v>0</v>
      </c>
      <c r="BG69" s="271">
        <f t="shared" si="138"/>
        <v>0</v>
      </c>
      <c r="BH69" s="271">
        <f t="shared" si="138"/>
        <v>0</v>
      </c>
      <c r="BI69" s="272">
        <f t="shared" si="138"/>
        <v>0</v>
      </c>
    </row>
    <row r="70" spans="1:61" ht="17.25" thickBot="1"/>
    <row r="71" spans="1:61" ht="17.25" thickBot="1">
      <c r="A71" s="209" t="s">
        <v>141</v>
      </c>
      <c r="C71" s="263"/>
      <c r="D71" s="198"/>
      <c r="E71" s="198"/>
      <c r="F71" s="198"/>
      <c r="G71" s="199"/>
      <c r="I71" s="263"/>
      <c r="J71" s="198"/>
      <c r="K71" s="198"/>
      <c r="L71" s="198"/>
      <c r="M71" s="199"/>
      <c r="O71" s="263"/>
      <c r="P71" s="198"/>
      <c r="Q71" s="198"/>
      <c r="R71" s="198"/>
      <c r="S71" s="199"/>
      <c r="U71" s="263"/>
      <c r="V71" s="198"/>
      <c r="W71" s="198"/>
      <c r="X71" s="198"/>
      <c r="Y71" s="199"/>
      <c r="AA71" s="263"/>
      <c r="AB71" s="298" t="s">
        <v>85</v>
      </c>
      <c r="AC71" s="298" t="s">
        <v>85</v>
      </c>
      <c r="AD71" s="298"/>
      <c r="AE71" s="299" t="s">
        <v>85</v>
      </c>
      <c r="AG71" s="305" t="s">
        <v>85</v>
      </c>
      <c r="AH71" s="298" t="s">
        <v>85</v>
      </c>
      <c r="AI71" s="298" t="s">
        <v>85</v>
      </c>
      <c r="AJ71" s="298" t="s">
        <v>85</v>
      </c>
      <c r="AK71" s="299" t="s">
        <v>85</v>
      </c>
      <c r="AM71" s="305" t="s">
        <v>85</v>
      </c>
      <c r="AN71" s="298" t="s">
        <v>85</v>
      </c>
      <c r="AO71" s="298" t="s">
        <v>85</v>
      </c>
      <c r="AP71" s="298" t="s">
        <v>85</v>
      </c>
      <c r="AQ71" s="299" t="s">
        <v>85</v>
      </c>
      <c r="AS71" s="305" t="s">
        <v>85</v>
      </c>
      <c r="AT71" s="298" t="s">
        <v>85</v>
      </c>
      <c r="AU71" s="298" t="s">
        <v>85</v>
      </c>
      <c r="AV71" s="298" t="s">
        <v>85</v>
      </c>
      <c r="AW71" s="299" t="s">
        <v>85</v>
      </c>
      <c r="AY71" s="305" t="s">
        <v>85</v>
      </c>
      <c r="AZ71" s="298" t="s">
        <v>85</v>
      </c>
      <c r="BA71" s="298" t="s">
        <v>85</v>
      </c>
      <c r="BB71" s="298" t="s">
        <v>85</v>
      </c>
      <c r="BC71" s="299" t="s">
        <v>85</v>
      </c>
      <c r="BE71" s="305" t="s">
        <v>85</v>
      </c>
      <c r="BF71" s="298" t="s">
        <v>85</v>
      </c>
      <c r="BG71" s="298" t="s">
        <v>85</v>
      </c>
      <c r="BH71" s="298" t="s">
        <v>85</v>
      </c>
      <c r="BI71" s="299" t="s">
        <v>85</v>
      </c>
    </row>
    <row r="72" spans="1:61">
      <c r="A72" s="215" t="s">
        <v>142</v>
      </c>
      <c r="C72" s="264"/>
      <c r="D72" s="265"/>
      <c r="E72" s="265"/>
      <c r="F72" s="265"/>
      <c r="G72" s="266"/>
      <c r="I72" s="264"/>
      <c r="J72" s="265"/>
      <c r="K72" s="265"/>
      <c r="L72" s="265"/>
      <c r="M72" s="266"/>
      <c r="O72" s="264"/>
      <c r="P72" s="265"/>
      <c r="Q72" s="265"/>
      <c r="R72" s="265"/>
      <c r="S72" s="266"/>
      <c r="U72" s="264"/>
      <c r="V72" s="265"/>
      <c r="W72" s="265"/>
      <c r="X72" s="265"/>
      <c r="Y72" s="266"/>
      <c r="AA72" s="264"/>
      <c r="AB72" s="265"/>
      <c r="AC72" s="265"/>
      <c r="AD72" s="265"/>
      <c r="AE72" s="266"/>
      <c r="AG72" s="264"/>
      <c r="AH72" s="311"/>
      <c r="AI72" s="265"/>
      <c r="AJ72" s="265"/>
      <c r="AK72" s="266"/>
      <c r="AM72" s="264"/>
      <c r="AN72" s="265"/>
      <c r="AO72" s="265"/>
      <c r="AP72" s="265"/>
      <c r="AQ72" s="266"/>
      <c r="AS72" s="264"/>
      <c r="AT72" s="265"/>
      <c r="AU72" s="265"/>
      <c r="AV72" s="265"/>
      <c r="AW72" s="266"/>
      <c r="AY72" s="264"/>
      <c r="AZ72" s="265"/>
      <c r="BA72" s="265"/>
      <c r="BB72" s="265"/>
      <c r="BC72" s="266"/>
      <c r="BE72" s="264"/>
      <c r="BF72" s="265"/>
      <c r="BG72" s="265"/>
      <c r="BH72" s="265"/>
      <c r="BI72" s="266"/>
    </row>
    <row r="73" spans="1:61">
      <c r="A73" s="180" t="s">
        <v>143</v>
      </c>
      <c r="C73" s="267">
        <f>C17</f>
        <v>23220</v>
      </c>
      <c r="D73" s="268">
        <f t="shared" ref="D73:AH73" si="139">D17</f>
        <v>56622</v>
      </c>
      <c r="E73" s="268">
        <f t="shared" si="139"/>
        <v>73328</v>
      </c>
      <c r="F73" s="268">
        <f t="shared" si="139"/>
        <v>52021</v>
      </c>
      <c r="G73" s="269">
        <f t="shared" si="139"/>
        <v>205191</v>
      </c>
      <c r="I73" s="267">
        <f t="shared" si="139"/>
        <v>35708</v>
      </c>
      <c r="J73" s="268">
        <f t="shared" si="139"/>
        <v>66604</v>
      </c>
      <c r="K73" s="268">
        <f t="shared" si="139"/>
        <v>78130</v>
      </c>
      <c r="L73" s="268">
        <f t="shared" si="139"/>
        <v>41367</v>
      </c>
      <c r="M73" s="269">
        <f t="shared" si="139"/>
        <v>221809</v>
      </c>
      <c r="O73" s="267">
        <f t="shared" si="139"/>
        <v>8767</v>
      </c>
      <c r="P73" s="268">
        <f t="shared" si="139"/>
        <v>78924</v>
      </c>
      <c r="Q73" s="268">
        <f t="shared" si="139"/>
        <v>85932</v>
      </c>
      <c r="R73" s="268">
        <f t="shared" si="139"/>
        <v>139914</v>
      </c>
      <c r="S73" s="269">
        <f t="shared" si="139"/>
        <v>313537</v>
      </c>
      <c r="U73" s="267">
        <f t="shared" si="139"/>
        <v>172580</v>
      </c>
      <c r="V73" s="268">
        <f t="shared" si="139"/>
        <v>497235</v>
      </c>
      <c r="W73" s="268">
        <f t="shared" si="139"/>
        <v>613145</v>
      </c>
      <c r="X73" s="268">
        <f t="shared" si="139"/>
        <v>442456</v>
      </c>
      <c r="Y73" s="269">
        <f t="shared" si="139"/>
        <v>1725416</v>
      </c>
      <c r="AA73" s="267">
        <f t="shared" si="139"/>
        <v>639640</v>
      </c>
      <c r="AB73" s="268">
        <f t="shared" si="139"/>
        <v>987209</v>
      </c>
      <c r="AC73" s="268">
        <f t="shared" si="139"/>
        <v>738007</v>
      </c>
      <c r="AD73" s="268">
        <f t="shared" si="139"/>
        <v>384513</v>
      </c>
      <c r="AE73" s="269">
        <f t="shared" si="139"/>
        <v>2749369</v>
      </c>
      <c r="AG73" s="267">
        <f t="shared" si="139"/>
        <v>333786</v>
      </c>
      <c r="AH73" s="225">
        <f t="shared" si="139"/>
        <v>404619</v>
      </c>
      <c r="AI73" s="268">
        <f>AI17</f>
        <v>495481.59853015095</v>
      </c>
      <c r="AJ73" s="268">
        <f t="shared" ref="AJ73:BI73" si="140">AJ17</f>
        <v>368176.12766003428</v>
      </c>
      <c r="AK73" s="269">
        <f t="shared" si="140"/>
        <v>1602062.7261901852</v>
      </c>
      <c r="AM73" s="267">
        <f>AM17</f>
        <v>297070.64459693496</v>
      </c>
      <c r="AN73" s="268">
        <f t="shared" si="140"/>
        <v>373371.72710451006</v>
      </c>
      <c r="AO73" s="268">
        <f t="shared" si="140"/>
        <v>461398.31925488263</v>
      </c>
      <c r="AP73" s="268">
        <f t="shared" si="140"/>
        <v>321212.00106715551</v>
      </c>
      <c r="AQ73" s="269">
        <f t="shared" si="140"/>
        <v>1453052.6920234831</v>
      </c>
      <c r="AS73" s="267">
        <f t="shared" si="140"/>
        <v>371660.97611543117</v>
      </c>
      <c r="AT73" s="268">
        <f t="shared" si="140"/>
        <v>449455.26612556993</v>
      </c>
      <c r="AU73" s="268">
        <f t="shared" si="140"/>
        <v>581931.59681946901</v>
      </c>
      <c r="AV73" s="268">
        <f t="shared" si="140"/>
        <v>361787.15566537098</v>
      </c>
      <c r="AW73" s="269">
        <f t="shared" si="140"/>
        <v>1764834.9947258411</v>
      </c>
      <c r="AY73" s="267">
        <f t="shared" si="140"/>
        <v>395028.95844850433</v>
      </c>
      <c r="AZ73" s="268">
        <f t="shared" si="140"/>
        <v>617505.29178573412</v>
      </c>
      <c r="BA73" s="268">
        <f t="shared" si="140"/>
        <v>776259.65949161386</v>
      </c>
      <c r="BB73" s="268">
        <f t="shared" si="140"/>
        <v>503755.25777690345</v>
      </c>
      <c r="BC73" s="269">
        <f t="shared" si="140"/>
        <v>2292549.1675027558</v>
      </c>
      <c r="BE73" s="267">
        <f t="shared" si="140"/>
        <v>420246.10505711986</v>
      </c>
      <c r="BF73" s="268">
        <f t="shared" si="140"/>
        <v>708253.99192023638</v>
      </c>
      <c r="BG73" s="268">
        <f t="shared" si="140"/>
        <v>836622.09132618899</v>
      </c>
      <c r="BH73" s="268">
        <f t="shared" si="140"/>
        <v>528482.29807643115</v>
      </c>
      <c r="BI73" s="269">
        <f t="shared" si="140"/>
        <v>2493604.4863799764</v>
      </c>
    </row>
    <row r="74" spans="1:61">
      <c r="A74" s="180" t="s">
        <v>144</v>
      </c>
      <c r="C74" s="267">
        <f>C10</f>
        <v>22819</v>
      </c>
      <c r="D74" s="268">
        <f t="shared" ref="D74:AH74" si="141">D10</f>
        <v>24768</v>
      </c>
      <c r="E74" s="268">
        <f t="shared" si="141"/>
        <v>25104</v>
      </c>
      <c r="F74" s="268">
        <f t="shared" si="141"/>
        <v>25215</v>
      </c>
      <c r="G74" s="269">
        <f t="shared" si="141"/>
        <v>97906</v>
      </c>
      <c r="I74" s="267">
        <f t="shared" si="141"/>
        <v>23576</v>
      </c>
      <c r="J74" s="268">
        <f t="shared" si="141"/>
        <v>23814</v>
      </c>
      <c r="K74" s="268">
        <f t="shared" si="141"/>
        <v>24381</v>
      </c>
      <c r="L74" s="268">
        <f t="shared" si="141"/>
        <v>28267</v>
      </c>
      <c r="M74" s="269">
        <f t="shared" si="141"/>
        <v>100038</v>
      </c>
      <c r="O74" s="267">
        <f t="shared" si="141"/>
        <v>29400</v>
      </c>
      <c r="P74" s="268">
        <f t="shared" si="141"/>
        <v>28475</v>
      </c>
      <c r="Q74" s="268">
        <f t="shared" si="141"/>
        <v>29423</v>
      </c>
      <c r="R74" s="268">
        <f t="shared" si="141"/>
        <v>29268</v>
      </c>
      <c r="S74" s="269">
        <f t="shared" si="141"/>
        <v>116566</v>
      </c>
      <c r="U74" s="267">
        <f t="shared" si="141"/>
        <v>134331</v>
      </c>
      <c r="V74" s="268">
        <f t="shared" si="141"/>
        <v>127222</v>
      </c>
      <c r="W74" s="268">
        <f t="shared" si="141"/>
        <v>139947</v>
      </c>
      <c r="X74" s="268">
        <f t="shared" si="141"/>
        <v>145852</v>
      </c>
      <c r="Y74" s="269">
        <f t="shared" si="141"/>
        <v>547352</v>
      </c>
      <c r="AA74" s="267">
        <f t="shared" si="141"/>
        <v>111946</v>
      </c>
      <c r="AB74" s="268">
        <f t="shared" si="141"/>
        <v>117859</v>
      </c>
      <c r="AC74" s="268">
        <f t="shared" si="141"/>
        <v>125667</v>
      </c>
      <c r="AD74" s="268">
        <f t="shared" si="141"/>
        <v>141668</v>
      </c>
      <c r="AE74" s="269">
        <f t="shared" si="141"/>
        <v>497140</v>
      </c>
      <c r="AG74" s="267">
        <f t="shared" si="141"/>
        <v>136549</v>
      </c>
      <c r="AH74" s="225">
        <f t="shared" si="141"/>
        <v>138966</v>
      </c>
      <c r="AI74" s="268">
        <f>AI10</f>
        <v>147125.20971598575</v>
      </c>
      <c r="AJ74" s="268">
        <f t="shared" ref="AJ74:BI74" si="142">AJ10</f>
        <v>128688.22901819795</v>
      </c>
      <c r="AK74" s="269">
        <f t="shared" si="142"/>
        <v>551328.43873418367</v>
      </c>
      <c r="AM74" s="267">
        <f>AM10</f>
        <v>130469.1110051062</v>
      </c>
      <c r="AN74" s="268">
        <f t="shared" si="142"/>
        <v>152635.35813947787</v>
      </c>
      <c r="AO74" s="268">
        <f t="shared" si="142"/>
        <v>184155.26890263555</v>
      </c>
      <c r="AP74" s="268">
        <f t="shared" si="142"/>
        <v>135808.64971769531</v>
      </c>
      <c r="AQ74" s="269">
        <f t="shared" si="142"/>
        <v>603068.38776491489</v>
      </c>
      <c r="AS74" s="267">
        <f t="shared" si="142"/>
        <v>107001.12350831706</v>
      </c>
      <c r="AT74" s="268">
        <f t="shared" si="142"/>
        <v>117651.47537562915</v>
      </c>
      <c r="AU74" s="268">
        <f t="shared" si="142"/>
        <v>150618.84837402406</v>
      </c>
      <c r="AV74" s="268">
        <f t="shared" si="142"/>
        <v>127710.29249844757</v>
      </c>
      <c r="AW74" s="269">
        <f t="shared" si="142"/>
        <v>502981.73975641781</v>
      </c>
      <c r="AY74" s="267">
        <f t="shared" si="142"/>
        <v>118664.79310567171</v>
      </c>
      <c r="AZ74" s="268">
        <f t="shared" si="142"/>
        <v>135279.38633031255</v>
      </c>
      <c r="BA74" s="268">
        <f t="shared" si="142"/>
        <v>172774.78274495274</v>
      </c>
      <c r="BB74" s="268">
        <f t="shared" si="142"/>
        <v>149812.02010075678</v>
      </c>
      <c r="BC74" s="269">
        <f t="shared" si="142"/>
        <v>576530.98228169372</v>
      </c>
      <c r="BE74" s="267">
        <f t="shared" si="142"/>
        <v>130846.11650431821</v>
      </c>
      <c r="BF74" s="268">
        <f t="shared" si="142"/>
        <v>162003.51742931348</v>
      </c>
      <c r="BG74" s="268">
        <f t="shared" si="142"/>
        <v>200805.43368050441</v>
      </c>
      <c r="BH74" s="268">
        <f t="shared" si="142"/>
        <v>178125.64224039673</v>
      </c>
      <c r="BI74" s="269">
        <f t="shared" si="142"/>
        <v>671780.70985453285</v>
      </c>
    </row>
    <row r="75" spans="1:61">
      <c r="A75" s="180" t="s">
        <v>145</v>
      </c>
      <c r="C75" s="74"/>
      <c r="G75" s="75"/>
      <c r="I75" s="74"/>
      <c r="M75" s="75"/>
      <c r="O75" s="74"/>
      <c r="S75" s="75"/>
      <c r="U75" s="74"/>
      <c r="Y75" s="75"/>
      <c r="AA75" s="74"/>
      <c r="AE75" s="75"/>
      <c r="AG75" s="74"/>
      <c r="AH75" s="225">
        <f>AG36-AH36</f>
        <v>-188727</v>
      </c>
      <c r="AI75" s="268">
        <f>AH36-AI36</f>
        <v>-140864.49827168114</v>
      </c>
      <c r="AJ75" s="268">
        <f t="shared" ref="AJ75:BI75" si="143">AI36-AJ36</f>
        <v>379002.27797873504</v>
      </c>
      <c r="AK75" s="269">
        <f t="shared" si="143"/>
        <v>0</v>
      </c>
      <c r="AM75" s="267">
        <f>AK36-AM36</f>
        <v>-76443.079580944264</v>
      </c>
      <c r="AN75" s="268">
        <f t="shared" si="143"/>
        <v>-337901.20593508612</v>
      </c>
      <c r="AO75" s="268">
        <f t="shared" si="143"/>
        <v>-357027.69875315903</v>
      </c>
      <c r="AP75" s="268">
        <f t="shared" si="143"/>
        <v>626982.95780774695</v>
      </c>
      <c r="AQ75" s="269">
        <f t="shared" si="143"/>
        <v>0</v>
      </c>
      <c r="AS75" s="267">
        <f>AQ36-AS36</f>
        <v>-22737.722012922401</v>
      </c>
      <c r="AT75" s="268">
        <f t="shared" si="143"/>
        <v>-438330.1447513164</v>
      </c>
      <c r="AU75" s="268">
        <f t="shared" si="143"/>
        <v>-458809.94267603476</v>
      </c>
      <c r="AV75" s="268">
        <f t="shared" si="143"/>
        <v>717165.16620379826</v>
      </c>
      <c r="AW75" s="269">
        <f t="shared" si="143"/>
        <v>0</v>
      </c>
      <c r="AY75" s="267">
        <f>AW36-AY36</f>
        <v>135040.3264597177</v>
      </c>
      <c r="AZ75" s="268">
        <f t="shared" si="143"/>
        <v>-519369.23247117945</v>
      </c>
      <c r="BA75" s="268">
        <f t="shared" si="143"/>
        <v>-451370.46253292589</v>
      </c>
      <c r="BB75" s="268">
        <f t="shared" si="143"/>
        <v>682809.88622226054</v>
      </c>
      <c r="BC75" s="269">
        <f t="shared" si="143"/>
        <v>0</v>
      </c>
      <c r="BE75" s="267">
        <f>BC36-BE36</f>
        <v>218775.19153652154</v>
      </c>
      <c r="BF75" s="268">
        <f t="shared" si="143"/>
        <v>-741455.12645002315</v>
      </c>
      <c r="BG75" s="268">
        <f t="shared" si="143"/>
        <v>-403099.12171360664</v>
      </c>
      <c r="BH75" s="268">
        <f t="shared" si="143"/>
        <v>747869.71312144003</v>
      </c>
      <c r="BI75" s="269">
        <f t="shared" si="143"/>
        <v>0</v>
      </c>
    </row>
    <row r="76" spans="1:61">
      <c r="A76" s="180" t="s">
        <v>146</v>
      </c>
      <c r="C76" s="74"/>
      <c r="G76" s="75"/>
      <c r="I76" s="74"/>
      <c r="M76" s="75"/>
      <c r="O76" s="74"/>
      <c r="S76" s="75"/>
      <c r="U76" s="74"/>
      <c r="Y76" s="75"/>
      <c r="AA76" s="74"/>
      <c r="AE76" s="75"/>
      <c r="AG76" s="74"/>
      <c r="AH76" s="225">
        <f>AG38-AH38</f>
        <v>-26087</v>
      </c>
      <c r="AI76" s="268">
        <f>AH38-AI38</f>
        <v>6339.2395995983388</v>
      </c>
      <c r="AJ76" s="268">
        <f t="shared" ref="AJ76:BI76" si="144">AI38-AJ38</f>
        <v>158739.12776099239</v>
      </c>
      <c r="AK76" s="269">
        <f t="shared" si="144"/>
        <v>0</v>
      </c>
      <c r="AM76" s="267">
        <f>AK38-AM38</f>
        <v>-215283.37872827938</v>
      </c>
      <c r="AN76" s="268">
        <f t="shared" si="144"/>
        <v>-99837.672600189224</v>
      </c>
      <c r="AO76" s="268">
        <f t="shared" si="144"/>
        <v>-218963.47605024697</v>
      </c>
      <c r="AP76" s="268">
        <f t="shared" si="144"/>
        <v>396639.78248053743</v>
      </c>
      <c r="AQ76" s="269">
        <f t="shared" si="144"/>
        <v>0</v>
      </c>
      <c r="AS76" s="267">
        <f>AQ38-AS38</f>
        <v>-168021.66018229164</v>
      </c>
      <c r="AT76" s="268">
        <f t="shared" si="144"/>
        <v>-332057.30313769309</v>
      </c>
      <c r="AU76" s="268">
        <f t="shared" si="144"/>
        <v>-203780.23276891885</v>
      </c>
      <c r="AV76" s="268">
        <f t="shared" si="144"/>
        <v>374815.9051381899</v>
      </c>
      <c r="AW76" s="269">
        <f t="shared" si="144"/>
        <v>0</v>
      </c>
      <c r="AY76" s="267">
        <f>AW38-AY38</f>
        <v>62680.564611568348</v>
      </c>
      <c r="AZ76" s="268">
        <f t="shared" si="144"/>
        <v>-221091.11096558534</v>
      </c>
      <c r="BA76" s="268">
        <f t="shared" si="144"/>
        <v>-328631.29822625918</v>
      </c>
      <c r="BB76" s="268">
        <f t="shared" si="144"/>
        <v>404343.03899174347</v>
      </c>
      <c r="BC76" s="269">
        <f t="shared" si="144"/>
        <v>0</v>
      </c>
      <c r="BE76" s="267">
        <f>BC38-BE38</f>
        <v>125742.04803535528</v>
      </c>
      <c r="BF76" s="268">
        <f t="shared" si="144"/>
        <v>-449408.57435284741</v>
      </c>
      <c r="BG76" s="268">
        <f t="shared" si="144"/>
        <v>-185140.79146804358</v>
      </c>
      <c r="BH76" s="268">
        <f t="shared" si="144"/>
        <v>401070.1129564133</v>
      </c>
      <c r="BI76" s="269">
        <f t="shared" si="144"/>
        <v>0</v>
      </c>
    </row>
    <row r="77" spans="1:61">
      <c r="A77" s="180" t="s">
        <v>147</v>
      </c>
      <c r="C77" s="74"/>
      <c r="G77" s="75"/>
      <c r="I77" s="74"/>
      <c r="M77" s="75"/>
      <c r="O77" s="74"/>
      <c r="S77" s="75"/>
      <c r="U77" s="74"/>
      <c r="Y77" s="75"/>
      <c r="AA77" s="74"/>
      <c r="AE77" s="75"/>
      <c r="AG77" s="74"/>
      <c r="AH77" s="225">
        <f>AH52-AG52</f>
        <v>123027</v>
      </c>
      <c r="AI77" s="268">
        <f>AI52-AH52</f>
        <v>-30874.875522149145</v>
      </c>
      <c r="AJ77" s="268">
        <f>AJ52-AI52</f>
        <v>-185980.80876092578</v>
      </c>
      <c r="AK77" s="269">
        <f t="shared" ref="AK77:BH77" si="145">AK52-AJ52</f>
        <v>0</v>
      </c>
      <c r="AM77" s="267">
        <f>AM52-AK52</f>
        <v>237120.63146239589</v>
      </c>
      <c r="AN77" s="268">
        <f t="shared" si="145"/>
        <v>66271.814510308439</v>
      </c>
      <c r="AO77" s="268">
        <f t="shared" si="145"/>
        <v>142056.79939891375</v>
      </c>
      <c r="AP77" s="268">
        <f t="shared" si="145"/>
        <v>-370381.90522880689</v>
      </c>
      <c r="AQ77" s="269">
        <f t="shared" si="145"/>
        <v>0</v>
      </c>
      <c r="AS77" s="267">
        <f>AS52-AQ52</f>
        <v>161732.51645586803</v>
      </c>
      <c r="AT77" s="268">
        <f t="shared" si="145"/>
        <v>170127.69846129417</v>
      </c>
      <c r="AU77" s="268">
        <f t="shared" si="145"/>
        <v>119566.54589338903</v>
      </c>
      <c r="AV77" s="268">
        <f t="shared" si="145"/>
        <v>-273860.9179930517</v>
      </c>
      <c r="AW77" s="269">
        <f t="shared" si="145"/>
        <v>0</v>
      </c>
      <c r="AY77" s="267">
        <f>AY52-AW52</f>
        <v>59906.940692527685</v>
      </c>
      <c r="AZ77" s="268">
        <f t="shared" si="145"/>
        <v>98930.815629980294</v>
      </c>
      <c r="BA77" s="268">
        <f t="shared" si="145"/>
        <v>208124.921783895</v>
      </c>
      <c r="BB77" s="268">
        <f t="shared" si="145"/>
        <v>-356477.32761130179</v>
      </c>
      <c r="BC77" s="269">
        <f t="shared" si="145"/>
        <v>0</v>
      </c>
      <c r="BE77" s="267">
        <f>BE52-BC52</f>
        <v>62974.732575366972</v>
      </c>
      <c r="BF77" s="268">
        <f t="shared" si="145"/>
        <v>355665.11169765145</v>
      </c>
      <c r="BG77" s="268">
        <f t="shared" si="145"/>
        <v>104769.38831675332</v>
      </c>
      <c r="BH77" s="268">
        <f t="shared" si="145"/>
        <v>-373576.59603851475</v>
      </c>
      <c r="BI77" s="269"/>
    </row>
    <row r="78" spans="1:61" s="274" customFormat="1" ht="15">
      <c r="A78" s="340" t="s">
        <v>148</v>
      </c>
      <c r="B78"/>
      <c r="C78" s="341"/>
      <c r="D78" s="342"/>
      <c r="E78" s="342"/>
      <c r="F78" s="342"/>
      <c r="G78" s="343"/>
      <c r="H78"/>
      <c r="I78" s="341"/>
      <c r="J78" s="342"/>
      <c r="K78" s="342"/>
      <c r="L78" s="342"/>
      <c r="M78" s="343"/>
      <c r="N78"/>
      <c r="O78" s="341"/>
      <c r="P78" s="342"/>
      <c r="Q78" s="342"/>
      <c r="R78" s="342"/>
      <c r="S78" s="343"/>
      <c r="T78"/>
      <c r="U78" s="341"/>
      <c r="V78" s="342"/>
      <c r="W78" s="342"/>
      <c r="X78" s="342"/>
      <c r="Y78" s="343"/>
      <c r="Z78"/>
      <c r="AA78" s="341"/>
      <c r="AB78" s="342"/>
      <c r="AC78" s="342"/>
      <c r="AD78" s="342"/>
      <c r="AE78" s="343"/>
      <c r="AF78"/>
      <c r="AG78" s="341"/>
      <c r="AH78" s="600">
        <f>SUM(AH73:AH77)</f>
        <v>451798</v>
      </c>
      <c r="AI78" s="351">
        <f>SUM(AI73:AI77)</f>
        <v>477206.6740519047</v>
      </c>
      <c r="AJ78" s="351">
        <f t="shared" ref="AJ78:BH78" si="146">SUM(AJ73:AJ77)</f>
        <v>848624.95365703385</v>
      </c>
      <c r="AK78" s="350"/>
      <c r="AL78"/>
      <c r="AM78" s="352">
        <f>SUM(AM73:AM77)</f>
        <v>372933.92875521339</v>
      </c>
      <c r="AN78" s="351">
        <f t="shared" si="146"/>
        <v>154540.02121902106</v>
      </c>
      <c r="AO78" s="351">
        <f t="shared" si="146"/>
        <v>211619.21275302593</v>
      </c>
      <c r="AP78" s="351">
        <f t="shared" si="146"/>
        <v>1110261.4858443283</v>
      </c>
      <c r="AQ78" s="350"/>
      <c r="AR78"/>
      <c r="AS78" s="352">
        <f t="shared" si="146"/>
        <v>449635.2338844022</v>
      </c>
      <c r="AT78" s="351">
        <f t="shared" si="146"/>
        <v>-33153.007926516235</v>
      </c>
      <c r="AU78" s="351">
        <f t="shared" si="146"/>
        <v>189526.81564192846</v>
      </c>
      <c r="AV78" s="351">
        <f t="shared" si="146"/>
        <v>1307617.601512755</v>
      </c>
      <c r="AW78" s="350"/>
      <c r="AX78"/>
      <c r="AY78" s="352">
        <f t="shared" si="146"/>
        <v>771321.58331798972</v>
      </c>
      <c r="AZ78" s="351">
        <f t="shared" si="146"/>
        <v>111255.15030926222</v>
      </c>
      <c r="BA78" s="351">
        <f t="shared" si="146"/>
        <v>377157.6032612765</v>
      </c>
      <c r="BB78" s="351">
        <f t="shared" si="146"/>
        <v>1384242.8754803624</v>
      </c>
      <c r="BC78" s="350"/>
      <c r="BD78"/>
      <c r="BE78" s="352">
        <f t="shared" si="146"/>
        <v>958584.19370868185</v>
      </c>
      <c r="BF78" s="351">
        <f t="shared" si="146"/>
        <v>35058.920244330773</v>
      </c>
      <c r="BG78" s="351">
        <f t="shared" si="146"/>
        <v>553957.00014179654</v>
      </c>
      <c r="BH78" s="351">
        <f t="shared" si="146"/>
        <v>1481971.1703561663</v>
      </c>
      <c r="BI78" s="350"/>
    </row>
    <row r="79" spans="1:61">
      <c r="A79" s="180"/>
      <c r="C79" s="74"/>
      <c r="G79" s="75"/>
      <c r="I79" s="74"/>
      <c r="M79" s="75"/>
      <c r="O79" s="74"/>
      <c r="S79" s="75"/>
      <c r="U79" s="74"/>
      <c r="Y79" s="75"/>
      <c r="AA79" s="74"/>
      <c r="AE79" s="75"/>
      <c r="AG79" s="74"/>
      <c r="AH79" s="224"/>
      <c r="AK79" s="75"/>
      <c r="AM79" s="74"/>
      <c r="AQ79" s="75"/>
      <c r="AS79" s="74"/>
      <c r="AW79" s="75"/>
      <c r="AY79" s="74"/>
      <c r="BC79" s="75"/>
      <c r="BE79" s="74"/>
      <c r="BI79" s="75"/>
    </row>
    <row r="80" spans="1:61">
      <c r="A80" s="180" t="s">
        <v>151</v>
      </c>
      <c r="C80" s="74"/>
      <c r="G80" s="75"/>
      <c r="I80" s="74"/>
      <c r="M80" s="75"/>
      <c r="O80" s="74"/>
      <c r="S80" s="75"/>
      <c r="U80" s="74"/>
      <c r="Y80" s="75"/>
      <c r="AA80" s="74"/>
      <c r="AE80" s="75"/>
      <c r="AG80" s="74"/>
      <c r="AH80" s="224"/>
      <c r="AK80" s="75"/>
      <c r="AM80" s="74"/>
      <c r="AQ80" s="75"/>
      <c r="AS80" s="74"/>
      <c r="AW80" s="75"/>
      <c r="AY80" s="74"/>
      <c r="BC80" s="75"/>
      <c r="BE80" s="74"/>
      <c r="BI80" s="75"/>
    </row>
    <row r="81" spans="1:61">
      <c r="A81" s="180" t="s">
        <v>149</v>
      </c>
      <c r="C81" s="74"/>
      <c r="G81" s="75"/>
      <c r="I81" s="74"/>
      <c r="M81" s="75"/>
      <c r="O81" s="74"/>
      <c r="S81" s="75"/>
      <c r="U81" s="74"/>
      <c r="Y81" s="75"/>
      <c r="AA81" s="74"/>
      <c r="AE81" s="75"/>
      <c r="AG81" s="74"/>
      <c r="AH81" s="225">
        <f>AH56-AG56</f>
        <v>-116</v>
      </c>
      <c r="AI81" s="268">
        <f>AI56-AH56</f>
        <v>5.0704544463815182</v>
      </c>
      <c r="AJ81" s="268">
        <f t="shared" ref="AJ81:BI81" si="147">AJ56-AI56</f>
        <v>0</v>
      </c>
      <c r="AK81" s="269">
        <f t="shared" si="147"/>
        <v>0</v>
      </c>
      <c r="AM81" s="267">
        <f>AM56-AK56</f>
        <v>0</v>
      </c>
      <c r="AN81" s="268">
        <f t="shared" si="147"/>
        <v>0</v>
      </c>
      <c r="AO81" s="268">
        <f t="shared" si="147"/>
        <v>0</v>
      </c>
      <c r="AP81" s="268">
        <f t="shared" si="147"/>
        <v>0</v>
      </c>
      <c r="AQ81" s="269">
        <f t="shared" si="147"/>
        <v>0</v>
      </c>
      <c r="AS81" s="267">
        <f>AS56-AQ56</f>
        <v>0</v>
      </c>
      <c r="AT81" s="268">
        <f t="shared" si="147"/>
        <v>0</v>
      </c>
      <c r="AU81" s="268">
        <f t="shared" si="147"/>
        <v>0</v>
      </c>
      <c r="AV81" s="268">
        <f t="shared" si="147"/>
        <v>0</v>
      </c>
      <c r="AW81" s="269">
        <f t="shared" si="147"/>
        <v>0</v>
      </c>
      <c r="AY81" s="267">
        <f>AY56-AW56</f>
        <v>0</v>
      </c>
      <c r="AZ81" s="268">
        <f t="shared" si="147"/>
        <v>0</v>
      </c>
      <c r="BA81" s="268">
        <f t="shared" si="147"/>
        <v>0</v>
      </c>
      <c r="BB81" s="268">
        <f t="shared" si="147"/>
        <v>0</v>
      </c>
      <c r="BC81" s="269">
        <f t="shared" si="147"/>
        <v>0</v>
      </c>
      <c r="BE81" s="267">
        <f>BE56-BC56</f>
        <v>0</v>
      </c>
      <c r="BF81" s="268">
        <f t="shared" si="147"/>
        <v>0</v>
      </c>
      <c r="BG81" s="268">
        <f t="shared" si="147"/>
        <v>0</v>
      </c>
      <c r="BH81" s="268">
        <f t="shared" si="147"/>
        <v>0</v>
      </c>
      <c r="BI81" s="269">
        <f t="shared" si="147"/>
        <v>0</v>
      </c>
    </row>
    <row r="82" spans="1:61">
      <c r="A82" s="180" t="s">
        <v>150</v>
      </c>
      <c r="C82" s="74"/>
      <c r="G82" s="75"/>
      <c r="I82" s="74"/>
      <c r="M82" s="75"/>
      <c r="O82" s="74"/>
      <c r="S82" s="75"/>
      <c r="U82" s="74"/>
      <c r="Y82" s="75"/>
      <c r="AA82" s="74"/>
      <c r="AE82" s="75"/>
      <c r="AG82" s="74"/>
      <c r="AH82" s="225">
        <f>AH59-AG59</f>
        <v>475972</v>
      </c>
      <c r="AI82" s="268">
        <f>AI59-AH59</f>
        <v>4314</v>
      </c>
      <c r="AJ82" s="268">
        <f t="shared" ref="AJ82:BI82" si="148">AJ59-AI59</f>
        <v>0</v>
      </c>
      <c r="AK82" s="269">
        <f t="shared" si="148"/>
        <v>0</v>
      </c>
      <c r="AM82" s="267">
        <f>AM59-AK59</f>
        <v>0</v>
      </c>
      <c r="AN82" s="268">
        <f t="shared" si="148"/>
        <v>0</v>
      </c>
      <c r="AO82" s="268">
        <f t="shared" si="148"/>
        <v>0</v>
      </c>
      <c r="AP82" s="268">
        <f t="shared" si="148"/>
        <v>0</v>
      </c>
      <c r="AQ82" s="269">
        <f t="shared" si="148"/>
        <v>0</v>
      </c>
      <c r="AS82" s="267">
        <f>AS59-AQ59</f>
        <v>0</v>
      </c>
      <c r="AT82" s="268">
        <f t="shared" si="148"/>
        <v>0</v>
      </c>
      <c r="AU82" s="268">
        <f t="shared" si="148"/>
        <v>0</v>
      </c>
      <c r="AV82" s="268">
        <f t="shared" si="148"/>
        <v>0</v>
      </c>
      <c r="AW82" s="269">
        <f t="shared" si="148"/>
        <v>0</v>
      </c>
      <c r="AY82" s="267">
        <f>AY59-AW59</f>
        <v>0</v>
      </c>
      <c r="AZ82" s="268">
        <f t="shared" si="148"/>
        <v>0</v>
      </c>
      <c r="BA82" s="268">
        <f t="shared" si="148"/>
        <v>0</v>
      </c>
      <c r="BB82" s="268">
        <f t="shared" si="148"/>
        <v>0</v>
      </c>
      <c r="BC82" s="269">
        <f t="shared" si="148"/>
        <v>0</v>
      </c>
      <c r="BE82" s="267">
        <f>BE59-BC59</f>
        <v>0</v>
      </c>
      <c r="BF82" s="268">
        <f t="shared" si="148"/>
        <v>0</v>
      </c>
      <c r="BG82" s="268">
        <f t="shared" si="148"/>
        <v>0</v>
      </c>
      <c r="BH82" s="268">
        <f t="shared" si="148"/>
        <v>0</v>
      </c>
      <c r="BI82" s="269">
        <f t="shared" si="148"/>
        <v>0</v>
      </c>
    </row>
    <row r="83" spans="1:61" s="274" customFormat="1" ht="15">
      <c r="A83" s="340" t="s">
        <v>189</v>
      </c>
      <c r="B83"/>
      <c r="C83" s="341"/>
      <c r="D83" s="342"/>
      <c r="E83" s="342"/>
      <c r="F83" s="342"/>
      <c r="G83" s="343"/>
      <c r="H83"/>
      <c r="I83" s="341"/>
      <c r="J83" s="342"/>
      <c r="K83" s="342"/>
      <c r="L83" s="342"/>
      <c r="M83" s="343"/>
      <c r="N83"/>
      <c r="O83" s="341"/>
      <c r="P83" s="342"/>
      <c r="Q83" s="342"/>
      <c r="R83" s="342"/>
      <c r="S83" s="343"/>
      <c r="T83"/>
      <c r="U83" s="341"/>
      <c r="V83" s="342"/>
      <c r="W83" s="342"/>
      <c r="X83" s="342"/>
      <c r="Y83" s="343"/>
      <c r="Z83"/>
      <c r="AA83" s="341"/>
      <c r="AB83" s="342"/>
      <c r="AC83" s="342"/>
      <c r="AD83" s="342"/>
      <c r="AE83" s="343"/>
      <c r="AF83"/>
      <c r="AG83" s="341"/>
      <c r="AH83" s="600">
        <f>SUM(AH81:AH82)</f>
        <v>475856</v>
      </c>
      <c r="AI83" s="351">
        <f>SUM(AI81:AI82)</f>
        <v>4319.0704544463815</v>
      </c>
      <c r="AJ83" s="351">
        <f t="shared" ref="AJ83:BI83" si="149">SUM(AJ81:AJ82)</f>
        <v>0</v>
      </c>
      <c r="AK83" s="350">
        <f t="shared" si="149"/>
        <v>0</v>
      </c>
      <c r="AL83"/>
      <c r="AM83" s="352">
        <f t="shared" si="149"/>
        <v>0</v>
      </c>
      <c r="AN83" s="351">
        <f t="shared" si="149"/>
        <v>0</v>
      </c>
      <c r="AO83" s="351">
        <f t="shared" si="149"/>
        <v>0</v>
      </c>
      <c r="AP83" s="351">
        <f t="shared" si="149"/>
        <v>0</v>
      </c>
      <c r="AQ83" s="350">
        <f t="shared" si="149"/>
        <v>0</v>
      </c>
      <c r="AR83"/>
      <c r="AS83" s="352">
        <f t="shared" si="149"/>
        <v>0</v>
      </c>
      <c r="AT83" s="351">
        <f t="shared" si="149"/>
        <v>0</v>
      </c>
      <c r="AU83" s="351">
        <f t="shared" si="149"/>
        <v>0</v>
      </c>
      <c r="AV83" s="351">
        <f t="shared" si="149"/>
        <v>0</v>
      </c>
      <c r="AW83" s="350">
        <f t="shared" si="149"/>
        <v>0</v>
      </c>
      <c r="AX83"/>
      <c r="AY83" s="352">
        <f t="shared" si="149"/>
        <v>0</v>
      </c>
      <c r="AZ83" s="351">
        <f t="shared" si="149"/>
        <v>0</v>
      </c>
      <c r="BA83" s="351">
        <f t="shared" si="149"/>
        <v>0</v>
      </c>
      <c r="BB83" s="351">
        <f t="shared" si="149"/>
        <v>0</v>
      </c>
      <c r="BC83" s="350">
        <f t="shared" si="149"/>
        <v>0</v>
      </c>
      <c r="BD83"/>
      <c r="BE83" s="352">
        <f t="shared" si="149"/>
        <v>0</v>
      </c>
      <c r="BF83" s="351">
        <f t="shared" si="149"/>
        <v>0</v>
      </c>
      <c r="BG83" s="351">
        <f t="shared" si="149"/>
        <v>0</v>
      </c>
      <c r="BH83" s="351">
        <f t="shared" si="149"/>
        <v>0</v>
      </c>
      <c r="BI83" s="350">
        <f t="shared" si="149"/>
        <v>0</v>
      </c>
    </row>
    <row r="84" spans="1:61">
      <c r="A84" s="180"/>
      <c r="C84" s="74"/>
      <c r="G84" s="75"/>
      <c r="I84" s="74"/>
      <c r="M84" s="75"/>
      <c r="O84" s="74"/>
      <c r="S84" s="75"/>
      <c r="U84" s="74"/>
      <c r="Y84" s="75"/>
      <c r="AA84" s="74"/>
      <c r="AE84" s="75"/>
      <c r="AG84" s="74"/>
      <c r="AH84" s="224"/>
      <c r="AK84" s="75"/>
      <c r="AM84" s="74"/>
      <c r="AQ84" s="75"/>
      <c r="AS84" s="74"/>
      <c r="AW84" s="75"/>
      <c r="AY84" s="74"/>
      <c r="BC84" s="75"/>
      <c r="BE84" s="74"/>
      <c r="BI84" s="75"/>
    </row>
    <row r="85" spans="1:61" s="274" customFormat="1" ht="15">
      <c r="A85" s="215" t="s">
        <v>152</v>
      </c>
      <c r="B85"/>
      <c r="C85" s="273"/>
      <c r="G85" s="275"/>
      <c r="H85"/>
      <c r="I85" s="273"/>
      <c r="M85" s="275"/>
      <c r="N85"/>
      <c r="O85" s="273"/>
      <c r="S85" s="275"/>
      <c r="T85"/>
      <c r="U85" s="273"/>
      <c r="Y85" s="275"/>
      <c r="Z85"/>
      <c r="AA85" s="273"/>
      <c r="AE85" s="275"/>
      <c r="AF85"/>
      <c r="AG85" s="273"/>
      <c r="AH85" s="226"/>
      <c r="AK85" s="275"/>
      <c r="AL85"/>
      <c r="AM85" s="273"/>
      <c r="AQ85" s="275"/>
      <c r="AR85"/>
      <c r="AS85" s="273"/>
      <c r="AW85" s="275"/>
      <c r="AX85"/>
      <c r="AY85" s="273"/>
      <c r="BC85" s="275"/>
      <c r="BD85"/>
      <c r="BE85" s="273"/>
      <c r="BI85" s="275"/>
    </row>
    <row r="86" spans="1:61" s="314" customFormat="1">
      <c r="A86" s="214" t="s">
        <v>105</v>
      </c>
      <c r="B86"/>
      <c r="C86" s="747">
        <v>-4855</v>
      </c>
      <c r="D86" s="748">
        <v>0</v>
      </c>
      <c r="E86" s="748">
        <v>0</v>
      </c>
      <c r="F86" s="748">
        <v>-40</v>
      </c>
      <c r="G86" s="749">
        <v>-4895</v>
      </c>
      <c r="H86"/>
      <c r="I86" s="747">
        <v>-2450</v>
      </c>
      <c r="J86" s="748">
        <v>0</v>
      </c>
      <c r="K86" s="748">
        <v>-7942</v>
      </c>
      <c r="L86" s="748">
        <v>0</v>
      </c>
      <c r="M86" s="749">
        <v>-10392</v>
      </c>
      <c r="N86"/>
      <c r="O86" s="747">
        <v>-3834</v>
      </c>
      <c r="P86" s="748">
        <v>-319</v>
      </c>
      <c r="Q86" s="748">
        <v>0</v>
      </c>
      <c r="R86" s="748">
        <v>0</v>
      </c>
      <c r="S86" s="749">
        <v>-4153</v>
      </c>
      <c r="T86"/>
      <c r="U86" s="747">
        <v>-10418</v>
      </c>
      <c r="V86" s="748">
        <v>-7289</v>
      </c>
      <c r="W86" s="748">
        <v>-547911</v>
      </c>
      <c r="X86" s="748">
        <v>-1149143</v>
      </c>
      <c r="Y86" s="749">
        <v>-1714761</v>
      </c>
      <c r="Z86"/>
      <c r="AA86" s="747">
        <v>-354965</v>
      </c>
      <c r="AB86" s="748">
        <v>-938735</v>
      </c>
      <c r="AC86" s="748">
        <v>-685845</v>
      </c>
      <c r="AD86" s="748">
        <v>-648763</v>
      </c>
      <c r="AE86" s="749">
        <v>-2628308</v>
      </c>
      <c r="AF86"/>
      <c r="AG86" s="747">
        <v>-626646</v>
      </c>
      <c r="AH86" s="748">
        <v>-787843</v>
      </c>
      <c r="AI86" s="276">
        <f>AI94</f>
        <v>-62225.666666666664</v>
      </c>
      <c r="AJ86" s="276">
        <f t="shared" ref="AJ86:BI86" si="150">AJ94</f>
        <v>-62225.666666666664</v>
      </c>
      <c r="AK86" s="313">
        <f t="shared" si="150"/>
        <v>-1538940.3333333335</v>
      </c>
      <c r="AL86"/>
      <c r="AM86" s="329">
        <f>AM94</f>
        <v>-62225.666666666664</v>
      </c>
      <c r="AN86" s="276">
        <f t="shared" si="150"/>
        <v>-62225.666666666664</v>
      </c>
      <c r="AO86" s="276">
        <f t="shared" si="150"/>
        <v>-62225.666666666664</v>
      </c>
      <c r="AP86" s="276">
        <f t="shared" si="150"/>
        <v>-62225.666666666664</v>
      </c>
      <c r="AQ86" s="313">
        <f t="shared" si="150"/>
        <v>-248902.66666666666</v>
      </c>
      <c r="AR86"/>
      <c r="AS86" s="329">
        <f>AS94</f>
        <v>0</v>
      </c>
      <c r="AT86" s="276">
        <f t="shared" si="150"/>
        <v>0</v>
      </c>
      <c r="AU86" s="276">
        <f t="shared" si="150"/>
        <v>0</v>
      </c>
      <c r="AV86" s="276">
        <f t="shared" si="150"/>
        <v>0</v>
      </c>
      <c r="AW86" s="313">
        <f t="shared" si="150"/>
        <v>0</v>
      </c>
      <c r="AX86"/>
      <c r="AY86" s="329">
        <f t="shared" si="150"/>
        <v>0</v>
      </c>
      <c r="AZ86" s="276">
        <f t="shared" si="150"/>
        <v>0</v>
      </c>
      <c r="BA86" s="276">
        <f t="shared" si="150"/>
        <v>0</v>
      </c>
      <c r="BB86" s="276">
        <f t="shared" si="150"/>
        <v>0</v>
      </c>
      <c r="BC86" s="313">
        <f t="shared" si="150"/>
        <v>0</v>
      </c>
      <c r="BD86"/>
      <c r="BE86" s="329">
        <f t="shared" si="150"/>
        <v>0</v>
      </c>
      <c r="BF86" s="276">
        <f t="shared" si="150"/>
        <v>0</v>
      </c>
      <c r="BG86" s="276">
        <f t="shared" si="150"/>
        <v>0</v>
      </c>
      <c r="BH86" s="276">
        <f t="shared" si="150"/>
        <v>0</v>
      </c>
      <c r="BI86" s="313">
        <f t="shared" si="150"/>
        <v>0</v>
      </c>
    </row>
    <row r="87" spans="1:61">
      <c r="A87" s="180" t="s">
        <v>153</v>
      </c>
      <c r="C87" s="74"/>
      <c r="G87" s="75"/>
      <c r="I87" s="74"/>
      <c r="M87" s="75"/>
      <c r="O87" s="74"/>
      <c r="S87" s="75"/>
      <c r="U87" s="74"/>
      <c r="Y87" s="75"/>
      <c r="AA87" s="74"/>
      <c r="AE87" s="75"/>
      <c r="AG87" s="74"/>
      <c r="AH87" s="225">
        <f>AG93</f>
        <v>-105645</v>
      </c>
      <c r="AI87" s="268">
        <f>AH93</f>
        <v>-125465</v>
      </c>
      <c r="AJ87" s="268">
        <f>AI93</f>
        <v>-146917.30649999998</v>
      </c>
      <c r="AK87" s="269">
        <f t="shared" ref="AK87:AW87" si="151">AK93</f>
        <v>-498296.10049999994</v>
      </c>
      <c r="AM87" s="267">
        <f>AM93</f>
        <v>-122324.391</v>
      </c>
      <c r="AN87" s="268">
        <f>AM93</f>
        <v>-122324.391</v>
      </c>
      <c r="AO87" s="268">
        <f>AN93</f>
        <v>-146736.03599999999</v>
      </c>
      <c r="AP87" s="268">
        <f>AO93</f>
        <v>-176300.76779999997</v>
      </c>
      <c r="AQ87" s="269"/>
      <c r="AS87" s="267">
        <f>AS93</f>
        <v>-128440.61055000001</v>
      </c>
      <c r="AT87" s="268">
        <f>AS93</f>
        <v>-128440.61055000001</v>
      </c>
      <c r="AU87" s="268">
        <f>AT93</f>
        <v>-164344.36032000001</v>
      </c>
      <c r="AV87" s="268">
        <f>AU93</f>
        <v>-202745.88296999998</v>
      </c>
      <c r="AW87" s="269">
        <f t="shared" si="151"/>
        <v>-643521.60485700006</v>
      </c>
      <c r="AY87" s="267">
        <f>AY93</f>
        <v>-133086.79724317437</v>
      </c>
      <c r="AZ87" s="268">
        <f>AY93</f>
        <v>-133086.79724317437</v>
      </c>
      <c r="BA87" s="268">
        <f>AZ93</f>
        <v>-176666.83951238467</v>
      </c>
      <c r="BB87" s="268">
        <f>BA93</f>
        <v>-216418.31193716609</v>
      </c>
      <c r="BC87" s="269"/>
      <c r="BE87" s="267">
        <f>BE93</f>
        <v>-137901.05422732129</v>
      </c>
      <c r="BF87" s="268">
        <f>BE93</f>
        <v>-137901.05422732129</v>
      </c>
      <c r="BG87" s="268">
        <f>BF93</f>
        <v>-199500.28685599481</v>
      </c>
      <c r="BH87" s="268">
        <f>BG93</f>
        <v>-233445.16650396481</v>
      </c>
      <c r="BI87" s="269"/>
    </row>
    <row r="88" spans="1:61" s="274" customFormat="1" ht="15">
      <c r="A88" s="340" t="s">
        <v>190</v>
      </c>
      <c r="B88"/>
      <c r="C88" s="341"/>
      <c r="D88" s="342"/>
      <c r="E88" s="342"/>
      <c r="F88" s="342"/>
      <c r="G88" s="343"/>
      <c r="H88"/>
      <c r="I88" s="341"/>
      <c r="J88" s="342"/>
      <c r="K88" s="342"/>
      <c r="L88" s="342"/>
      <c r="M88" s="343"/>
      <c r="N88"/>
      <c r="O88" s="341"/>
      <c r="P88" s="342"/>
      <c r="Q88" s="342"/>
      <c r="R88" s="342"/>
      <c r="S88" s="343"/>
      <c r="T88"/>
      <c r="U88" s="341"/>
      <c r="V88" s="342"/>
      <c r="W88" s="342"/>
      <c r="X88" s="342"/>
      <c r="Y88" s="343"/>
      <c r="Z88"/>
      <c r="AA88" s="341"/>
      <c r="AB88" s="342"/>
      <c r="AC88" s="342"/>
      <c r="AD88" s="342"/>
      <c r="AE88" s="343"/>
      <c r="AF88"/>
      <c r="AG88" s="341"/>
      <c r="AH88" s="600">
        <f>SUM(AH86:AH87)</f>
        <v>-893488</v>
      </c>
      <c r="AI88" s="351">
        <f>SUM(AI86:AI87)</f>
        <v>-187690.66666666666</v>
      </c>
      <c r="AJ88" s="351">
        <f t="shared" ref="AJ88:BI88" si="152">SUM(AJ86:AJ87)</f>
        <v>-209142.97316666663</v>
      </c>
      <c r="AK88" s="350">
        <f t="shared" si="152"/>
        <v>-2037236.4338333334</v>
      </c>
      <c r="AL88"/>
      <c r="AM88" s="352">
        <f>SUM(AM86:AM87)</f>
        <v>-184550.05766666666</v>
      </c>
      <c r="AN88" s="351">
        <f t="shared" si="152"/>
        <v>-184550.05766666666</v>
      </c>
      <c r="AO88" s="351">
        <f t="shared" si="152"/>
        <v>-208961.70266666665</v>
      </c>
      <c r="AP88" s="351">
        <f t="shared" si="152"/>
        <v>-238526.43446666663</v>
      </c>
      <c r="AQ88" s="350">
        <f t="shared" si="152"/>
        <v>-248902.66666666666</v>
      </c>
      <c r="AR88"/>
      <c r="AS88" s="352">
        <f t="shared" si="152"/>
        <v>-128440.61055000001</v>
      </c>
      <c r="AT88" s="351">
        <f t="shared" si="152"/>
        <v>-128440.61055000001</v>
      </c>
      <c r="AU88" s="351">
        <f t="shared" si="152"/>
        <v>-164344.36032000001</v>
      </c>
      <c r="AV88" s="351">
        <f t="shared" si="152"/>
        <v>-202745.88296999998</v>
      </c>
      <c r="AW88" s="350">
        <f t="shared" si="152"/>
        <v>-643521.60485700006</v>
      </c>
      <c r="AX88"/>
      <c r="AY88" s="352">
        <f t="shared" si="152"/>
        <v>-133086.79724317437</v>
      </c>
      <c r="AZ88" s="351">
        <f t="shared" si="152"/>
        <v>-133086.79724317437</v>
      </c>
      <c r="BA88" s="351">
        <f t="shared" si="152"/>
        <v>-176666.83951238467</v>
      </c>
      <c r="BB88" s="351">
        <f t="shared" si="152"/>
        <v>-216418.31193716609</v>
      </c>
      <c r="BC88" s="350">
        <f t="shared" si="152"/>
        <v>0</v>
      </c>
      <c r="BD88"/>
      <c r="BE88" s="352">
        <f t="shared" si="152"/>
        <v>-137901.05422732129</v>
      </c>
      <c r="BF88" s="351">
        <f t="shared" si="152"/>
        <v>-137901.05422732129</v>
      </c>
      <c r="BG88" s="351">
        <f t="shared" si="152"/>
        <v>-199500.28685599481</v>
      </c>
      <c r="BH88" s="351">
        <f t="shared" si="152"/>
        <v>-233445.16650396481</v>
      </c>
      <c r="BI88" s="350">
        <f t="shared" si="152"/>
        <v>0</v>
      </c>
    </row>
    <row r="89" spans="1:61">
      <c r="A89" s="180"/>
      <c r="C89" s="74"/>
      <c r="G89" s="75"/>
      <c r="I89" s="74"/>
      <c r="M89" s="75"/>
      <c r="O89" s="74"/>
      <c r="S89" s="75"/>
      <c r="U89" s="74"/>
      <c r="Y89" s="75"/>
      <c r="AA89" s="74"/>
      <c r="AE89" s="75"/>
      <c r="AG89" s="74"/>
      <c r="AH89" s="224"/>
      <c r="AK89" s="75"/>
      <c r="AM89" s="74"/>
      <c r="AQ89" s="75"/>
      <c r="AS89" s="74"/>
      <c r="AW89" s="75"/>
      <c r="AY89" s="74"/>
      <c r="BC89" s="75"/>
      <c r="BE89" s="74"/>
      <c r="BI89" s="75"/>
    </row>
    <row r="90" spans="1:61" s="274" customFormat="1" ht="15">
      <c r="A90" s="340" t="s">
        <v>191</v>
      </c>
      <c r="B90"/>
      <c r="C90" s="341"/>
      <c r="D90" s="342"/>
      <c r="E90" s="342"/>
      <c r="F90" s="342"/>
      <c r="G90" s="343"/>
      <c r="H90"/>
      <c r="I90" s="341"/>
      <c r="J90" s="342"/>
      <c r="K90" s="342"/>
      <c r="L90" s="342"/>
      <c r="M90" s="343"/>
      <c r="N90"/>
      <c r="O90" s="341"/>
      <c r="P90" s="342"/>
      <c r="Q90" s="342"/>
      <c r="R90" s="342"/>
      <c r="S90" s="343"/>
      <c r="T90"/>
      <c r="U90" s="341"/>
      <c r="V90" s="342"/>
      <c r="W90" s="342"/>
      <c r="X90" s="342"/>
      <c r="Y90" s="343"/>
      <c r="Z90"/>
      <c r="AA90" s="341"/>
      <c r="AB90" s="342"/>
      <c r="AC90" s="342"/>
      <c r="AD90" s="342"/>
      <c r="AE90" s="343"/>
      <c r="AF90"/>
      <c r="AG90" s="341"/>
      <c r="AH90" s="600">
        <f>AH78+AH83+AH88</f>
        <v>34166</v>
      </c>
      <c r="AI90" s="351">
        <f>AI78+AI83+AI88</f>
        <v>293835.07783968444</v>
      </c>
      <c r="AJ90" s="351">
        <f t="shared" ref="AJ90:BH90" si="153">AJ78+AJ83+AJ88</f>
        <v>639481.98049036716</v>
      </c>
      <c r="AK90" s="350"/>
      <c r="AL90"/>
      <c r="AM90" s="352">
        <f t="shared" si="153"/>
        <v>188383.87108854673</v>
      </c>
      <c r="AN90" s="351">
        <f t="shared" si="153"/>
        <v>-30010.036447645602</v>
      </c>
      <c r="AO90" s="351">
        <f t="shared" si="153"/>
        <v>2657.5100863592816</v>
      </c>
      <c r="AP90" s="351">
        <f t="shared" si="153"/>
        <v>871735.05137766164</v>
      </c>
      <c r="AQ90" s="350">
        <f t="shared" si="153"/>
        <v>-248902.66666666666</v>
      </c>
      <c r="AR90"/>
      <c r="AS90" s="352">
        <f t="shared" si="153"/>
        <v>321194.62333440222</v>
      </c>
      <c r="AT90" s="351">
        <f t="shared" si="153"/>
        <v>-161593.61847651625</v>
      </c>
      <c r="AU90" s="351">
        <f t="shared" si="153"/>
        <v>25182.455321928457</v>
      </c>
      <c r="AV90" s="351">
        <f t="shared" si="153"/>
        <v>1104871.7185427551</v>
      </c>
      <c r="AW90" s="350"/>
      <c r="AX90"/>
      <c r="AY90" s="352">
        <f t="shared" si="153"/>
        <v>638234.78607481532</v>
      </c>
      <c r="AZ90" s="351">
        <f t="shared" si="153"/>
        <v>-21831.646933912154</v>
      </c>
      <c r="BA90" s="351">
        <f t="shared" si="153"/>
        <v>200490.76374889183</v>
      </c>
      <c r="BB90" s="351">
        <f t="shared" si="153"/>
        <v>1167824.5635431963</v>
      </c>
      <c r="BC90" s="350">
        <f t="shared" si="153"/>
        <v>0</v>
      </c>
      <c r="BD90"/>
      <c r="BE90" s="352">
        <f t="shared" si="153"/>
        <v>820683.13948136056</v>
      </c>
      <c r="BF90" s="351">
        <f t="shared" si="153"/>
        <v>-102842.13398299052</v>
      </c>
      <c r="BG90" s="351">
        <f t="shared" si="153"/>
        <v>354456.7132858017</v>
      </c>
      <c r="BH90" s="351">
        <f t="shared" si="153"/>
        <v>1248526.0038522016</v>
      </c>
      <c r="BI90" s="350"/>
    </row>
    <row r="91" spans="1:61">
      <c r="A91" s="180"/>
      <c r="C91" s="74"/>
      <c r="G91" s="75"/>
      <c r="I91" s="74"/>
      <c r="M91" s="75"/>
      <c r="O91" s="74"/>
      <c r="S91" s="75"/>
      <c r="U91" s="74"/>
      <c r="Y91" s="75"/>
      <c r="AA91" s="74"/>
      <c r="AE91" s="75"/>
      <c r="AG91" s="74"/>
      <c r="AH91" s="224"/>
      <c r="AK91" s="75"/>
      <c r="AM91" s="74"/>
      <c r="AQ91" s="75"/>
      <c r="AS91" s="74"/>
      <c r="AW91" s="75"/>
      <c r="AY91" s="74"/>
      <c r="BC91" s="75"/>
      <c r="BE91" s="74"/>
      <c r="BI91" s="75"/>
    </row>
    <row r="92" spans="1:61" s="314" customFormat="1">
      <c r="A92" s="214" t="s">
        <v>103</v>
      </c>
      <c r="B92"/>
      <c r="C92" s="747">
        <v>22819</v>
      </c>
      <c r="D92" s="748">
        <v>24768</v>
      </c>
      <c r="E92" s="748">
        <v>25104</v>
      </c>
      <c r="F92" s="748">
        <v>25215</v>
      </c>
      <c r="G92" s="749">
        <v>97906</v>
      </c>
      <c r="H92"/>
      <c r="I92" s="747">
        <v>23576</v>
      </c>
      <c r="J92" s="748">
        <v>23814</v>
      </c>
      <c r="K92" s="748">
        <v>24381</v>
      </c>
      <c r="L92" s="748">
        <v>28267</v>
      </c>
      <c r="M92" s="749">
        <v>100038</v>
      </c>
      <c r="N92"/>
      <c r="O92" s="747">
        <v>29400</v>
      </c>
      <c r="P92" s="748">
        <v>28475</v>
      </c>
      <c r="Q92" s="748">
        <v>29423</v>
      </c>
      <c r="R92" s="748">
        <v>29268</v>
      </c>
      <c r="S92" s="749">
        <v>116566</v>
      </c>
      <c r="T92"/>
      <c r="U92" s="747">
        <v>134331</v>
      </c>
      <c r="V92" s="748">
        <v>127222</v>
      </c>
      <c r="W92" s="748">
        <v>139947</v>
      </c>
      <c r="X92" s="748">
        <v>145852</v>
      </c>
      <c r="Y92" s="749">
        <v>547352</v>
      </c>
      <c r="Z92"/>
      <c r="AA92" s="747">
        <v>111946</v>
      </c>
      <c r="AB92" s="748">
        <v>117859</v>
      </c>
      <c r="AC92" s="748">
        <v>125667</v>
      </c>
      <c r="AD92" s="748">
        <v>141668</v>
      </c>
      <c r="AE92" s="749">
        <v>497140</v>
      </c>
      <c r="AF92"/>
      <c r="AG92" s="747">
        <v>136549</v>
      </c>
      <c r="AH92" s="755">
        <v>138966</v>
      </c>
      <c r="AK92" s="315"/>
      <c r="AL92"/>
      <c r="AM92" s="330"/>
      <c r="AQ92" s="315"/>
      <c r="AR92"/>
      <c r="AS92" s="330"/>
      <c r="AW92" s="315"/>
      <c r="AX92"/>
      <c r="AY92" s="330"/>
      <c r="BC92" s="315"/>
      <c r="BD92"/>
      <c r="BE92" s="330"/>
      <c r="BI92" s="315"/>
    </row>
    <row r="93" spans="1:61" s="314" customFormat="1">
      <c r="A93" s="214" t="s">
        <v>154</v>
      </c>
      <c r="B93"/>
      <c r="C93" s="747">
        <v>-20113</v>
      </c>
      <c r="D93" s="748">
        <v>-29835</v>
      </c>
      <c r="E93" s="748">
        <v>-28745</v>
      </c>
      <c r="F93" s="748">
        <v>-22718</v>
      </c>
      <c r="G93" s="749">
        <v>-101411</v>
      </c>
      <c r="H93"/>
      <c r="I93" s="747">
        <v>-21524</v>
      </c>
      <c r="J93" s="748">
        <v>-23868</v>
      </c>
      <c r="K93" s="748">
        <v>-32545</v>
      </c>
      <c r="L93" s="748">
        <v>-34933</v>
      </c>
      <c r="M93" s="749">
        <v>-112870</v>
      </c>
      <c r="N93"/>
      <c r="O93" s="747">
        <v>-28498</v>
      </c>
      <c r="P93" s="748">
        <v>-26311</v>
      </c>
      <c r="Q93" s="748">
        <v>-28699</v>
      </c>
      <c r="R93" s="748">
        <v>-28574</v>
      </c>
      <c r="S93" s="749">
        <v>-112082</v>
      </c>
      <c r="T93"/>
      <c r="U93" s="747">
        <v>-39263</v>
      </c>
      <c r="V93" s="748">
        <v>-59030</v>
      </c>
      <c r="W93" s="748">
        <v>-61886</v>
      </c>
      <c r="X93" s="748">
        <v>-67712</v>
      </c>
      <c r="Y93" s="749">
        <v>-227891</v>
      </c>
      <c r="Z93"/>
      <c r="AA93" s="747">
        <v>-50475</v>
      </c>
      <c r="AB93" s="748">
        <v>-69063</v>
      </c>
      <c r="AC93" s="748">
        <v>-85703</v>
      </c>
      <c r="AD93" s="748">
        <v>-134911</v>
      </c>
      <c r="AE93" s="749">
        <v>-340152</v>
      </c>
      <c r="AF93"/>
      <c r="AG93" s="747">
        <v>-105645</v>
      </c>
      <c r="AH93" s="755">
        <v>-125465</v>
      </c>
      <c r="AI93" s="316">
        <f>AI111*AI4</f>
        <v>-146917.30649999998</v>
      </c>
      <c r="AJ93" s="316">
        <f>AJ111*AJ4</f>
        <v>-120268.79400000001</v>
      </c>
      <c r="AK93" s="317">
        <f>SUM(AG93:AJ93)</f>
        <v>-498296.10049999994</v>
      </c>
      <c r="AL93"/>
      <c r="AM93" s="331">
        <f>AM111*AM4</f>
        <v>-122324.391</v>
      </c>
      <c r="AN93" s="316">
        <f>AN111*AN4</f>
        <v>-146736.03599999999</v>
      </c>
      <c r="AO93" s="316">
        <f>AO111*AO4</f>
        <v>-176300.76779999997</v>
      </c>
      <c r="AP93" s="316">
        <f>AP111*AP4</f>
        <v>-128687.60958</v>
      </c>
      <c r="AQ93" s="317">
        <f>SUM(AM93:AP93)</f>
        <v>-574048.80437999999</v>
      </c>
      <c r="AR93"/>
      <c r="AS93" s="331">
        <f>AS111*AS4</f>
        <v>-128440.61055000001</v>
      </c>
      <c r="AT93" s="316">
        <f>AT111*AT4</f>
        <v>-164344.36032000001</v>
      </c>
      <c r="AU93" s="316">
        <f>AU111*AU4</f>
        <v>-202745.88296999998</v>
      </c>
      <c r="AV93" s="316">
        <f>AV111*AV4</f>
        <v>-147990.751017</v>
      </c>
      <c r="AW93" s="317">
        <f>SUM(AS93:AV93)</f>
        <v>-643521.60485700006</v>
      </c>
      <c r="AX93"/>
      <c r="AY93" s="331">
        <f>AY111*AY4</f>
        <v>-133086.79724317437</v>
      </c>
      <c r="AZ93" s="316">
        <f>AZ111*AZ4</f>
        <v>-176666.83951238467</v>
      </c>
      <c r="BA93" s="316">
        <f>BA111*BA4</f>
        <v>-216418.31193716609</v>
      </c>
      <c r="BB93" s="316">
        <f>BB111*BB4</f>
        <v>-163239.74121283062</v>
      </c>
      <c r="BC93" s="317">
        <f>SUM(AY93:BB93)</f>
        <v>-689411.68990555569</v>
      </c>
      <c r="BD93"/>
      <c r="BE93" s="331">
        <f>BE111*BE4</f>
        <v>-137901.05422732129</v>
      </c>
      <c r="BF93" s="316">
        <f>BF111*BF4</f>
        <v>-199500.28685599481</v>
      </c>
      <c r="BG93" s="316">
        <f>BG111*BG4</f>
        <v>-233445.16650396481</v>
      </c>
      <c r="BH93" s="316">
        <f>BH111*BH4</f>
        <v>-176984.11099936202</v>
      </c>
      <c r="BI93" s="317">
        <f>SUM(BE93:BH93)</f>
        <v>-747830.6185866429</v>
      </c>
    </row>
    <row r="94" spans="1:61" s="314" customFormat="1" ht="17.25" thickBot="1">
      <c r="A94" s="216" t="s">
        <v>105</v>
      </c>
      <c r="B94"/>
      <c r="C94" s="750">
        <v>-4855</v>
      </c>
      <c r="D94" s="751">
        <v>0</v>
      </c>
      <c r="E94" s="751">
        <v>0</v>
      </c>
      <c r="F94" s="751">
        <v>-40</v>
      </c>
      <c r="G94" s="752">
        <v>-4895</v>
      </c>
      <c r="H94"/>
      <c r="I94" s="750">
        <v>-2450</v>
      </c>
      <c r="J94" s="751">
        <v>0</v>
      </c>
      <c r="K94" s="751">
        <v>-7942</v>
      </c>
      <c r="L94" s="751">
        <v>0</v>
      </c>
      <c r="M94" s="752">
        <v>-10392</v>
      </c>
      <c r="N94"/>
      <c r="O94" s="750">
        <v>-3834</v>
      </c>
      <c r="P94" s="751">
        <v>-319</v>
      </c>
      <c r="Q94" s="751">
        <v>0</v>
      </c>
      <c r="R94" s="751">
        <v>0</v>
      </c>
      <c r="S94" s="752">
        <v>-4153</v>
      </c>
      <c r="T94"/>
      <c r="U94" s="750">
        <v>-10418</v>
      </c>
      <c r="V94" s="751">
        <v>-7289</v>
      </c>
      <c r="W94" s="751">
        <v>-547911</v>
      </c>
      <c r="X94" s="751">
        <v>-1149143</v>
      </c>
      <c r="Y94" s="752">
        <v>-1714761</v>
      </c>
      <c r="Z94"/>
      <c r="AA94" s="750">
        <v>-354965</v>
      </c>
      <c r="AB94" s="751">
        <v>-938735</v>
      </c>
      <c r="AC94" s="751">
        <v>-685845</v>
      </c>
      <c r="AD94" s="751">
        <v>-648763</v>
      </c>
      <c r="AE94" s="752">
        <v>-2628308</v>
      </c>
      <c r="AF94"/>
      <c r="AG94" s="750">
        <v>-626646</v>
      </c>
      <c r="AH94" s="756">
        <v>-787843</v>
      </c>
      <c r="AI94" s="277">
        <f>'Share Repurchase'!K6</f>
        <v>-62225.666666666664</v>
      </c>
      <c r="AJ94" s="277">
        <f>'Share Repurchase'!L6</f>
        <v>-62225.666666666664</v>
      </c>
      <c r="AK94" s="614">
        <f>SUM(AG94:AJ94)</f>
        <v>-1538940.3333333335</v>
      </c>
      <c r="AL94"/>
      <c r="AM94" s="332">
        <f>'Share Repurchase'!N6</f>
        <v>-62225.666666666664</v>
      </c>
      <c r="AN94" s="277">
        <f>'Share Repurchase'!O6</f>
        <v>-62225.666666666664</v>
      </c>
      <c r="AO94" s="277">
        <f>'Share Repurchase'!P6</f>
        <v>-62225.666666666664</v>
      </c>
      <c r="AP94" s="277">
        <f>'Share Repurchase'!Q6</f>
        <v>-62225.666666666664</v>
      </c>
      <c r="AQ94" s="317">
        <f>SUM(AM94:AP94)</f>
        <v>-248902.66666666666</v>
      </c>
      <c r="AR94"/>
      <c r="AS94" s="332">
        <f>'Share Repurchase'!S6</f>
        <v>0</v>
      </c>
      <c r="AT94" s="277">
        <f>'Share Repurchase'!T6</f>
        <v>0</v>
      </c>
      <c r="AU94" s="277">
        <f>'Share Repurchase'!U6</f>
        <v>0</v>
      </c>
      <c r="AV94" s="277">
        <f>'Share Repurchase'!V6</f>
        <v>0</v>
      </c>
      <c r="AW94" s="614">
        <f>SUM(AS94:AV94)</f>
        <v>0</v>
      </c>
      <c r="AX94"/>
      <c r="AY94" s="332">
        <f>'Share Repurchase'!X6</f>
        <v>0</v>
      </c>
      <c r="AZ94" s="277">
        <f>'Share Repurchase'!Y6</f>
        <v>0</v>
      </c>
      <c r="BA94" s="277">
        <f>'Share Repurchase'!Z6</f>
        <v>0</v>
      </c>
      <c r="BB94" s="277">
        <f>'Share Repurchase'!AA6</f>
        <v>0</v>
      </c>
      <c r="BC94" s="614">
        <f>SUM(AY94:BB94)</f>
        <v>0</v>
      </c>
      <c r="BD94"/>
      <c r="BE94" s="332">
        <f>'Share Repurchase'!AC6</f>
        <v>0</v>
      </c>
      <c r="BF94" s="277">
        <f>'Share Repurchase'!AD6</f>
        <v>0</v>
      </c>
      <c r="BG94" s="277">
        <f>'Share Repurchase'!AE6</f>
        <v>0</v>
      </c>
      <c r="BH94" s="277">
        <f>'Share Repurchase'!AF6</f>
        <v>0</v>
      </c>
      <c r="BI94" s="614">
        <f>SUM(BE94:BH94)</f>
        <v>0</v>
      </c>
    </row>
    <row r="95" spans="1:61" ht="17.25" thickBot="1">
      <c r="AQ95" s="615"/>
    </row>
    <row r="96" spans="1:61" ht="17.25" thickBot="1">
      <c r="A96" s="209" t="s">
        <v>123</v>
      </c>
      <c r="C96" s="263"/>
      <c r="D96" s="198"/>
      <c r="E96" s="198"/>
      <c r="F96" s="198"/>
      <c r="G96" s="199"/>
      <c r="I96" s="263"/>
      <c r="J96" s="198"/>
      <c r="K96" s="198"/>
      <c r="L96" s="198"/>
      <c r="M96" s="199"/>
      <c r="O96" s="263"/>
      <c r="P96" s="198"/>
      <c r="Q96" s="198"/>
      <c r="R96" s="198"/>
      <c r="S96" s="199"/>
      <c r="U96" s="263"/>
      <c r="V96" s="198"/>
      <c r="W96" s="198"/>
      <c r="X96" s="198"/>
      <c r="Y96" s="199"/>
      <c r="AA96" s="263"/>
      <c r="AB96" s="298" t="s">
        <v>85</v>
      </c>
      <c r="AC96" s="298" t="s">
        <v>85</v>
      </c>
      <c r="AD96" s="298"/>
      <c r="AE96" s="299" t="s">
        <v>85</v>
      </c>
      <c r="AG96" s="305" t="s">
        <v>85</v>
      </c>
      <c r="AH96" s="298" t="s">
        <v>85</v>
      </c>
      <c r="AI96" s="298" t="s">
        <v>85</v>
      </c>
      <c r="AJ96" s="298" t="s">
        <v>85</v>
      </c>
      <c r="AK96" s="299" t="s">
        <v>85</v>
      </c>
      <c r="AM96" s="305" t="s">
        <v>85</v>
      </c>
      <c r="AN96" s="298" t="s">
        <v>85</v>
      </c>
      <c r="AO96" s="298" t="s">
        <v>85</v>
      </c>
      <c r="AP96" s="298" t="s">
        <v>85</v>
      </c>
      <c r="AQ96" s="299" t="s">
        <v>85</v>
      </c>
      <c r="AS96" s="305" t="s">
        <v>85</v>
      </c>
      <c r="AT96" s="298" t="s">
        <v>85</v>
      </c>
      <c r="AU96" s="298" t="s">
        <v>85</v>
      </c>
      <c r="AV96" s="298" t="s">
        <v>85</v>
      </c>
      <c r="AW96" s="299" t="s">
        <v>85</v>
      </c>
      <c r="AY96" s="305" t="s">
        <v>85</v>
      </c>
      <c r="AZ96" s="298" t="s">
        <v>85</v>
      </c>
      <c r="BA96" s="298" t="s">
        <v>85</v>
      </c>
      <c r="BB96" s="298" t="s">
        <v>85</v>
      </c>
      <c r="BC96" s="299" t="s">
        <v>85</v>
      </c>
      <c r="BE96" s="305" t="s">
        <v>85</v>
      </c>
      <c r="BF96" s="298" t="s">
        <v>85</v>
      </c>
      <c r="BG96" s="298" t="s">
        <v>85</v>
      </c>
      <c r="BH96" s="298" t="s">
        <v>85</v>
      </c>
      <c r="BI96" s="299" t="s">
        <v>85</v>
      </c>
    </row>
    <row r="97" spans="1:62">
      <c r="A97" s="180" t="s">
        <v>124</v>
      </c>
      <c r="C97" s="278">
        <f t="shared" ref="C97:AH97" si="154">(C36/C4)*90</f>
        <v>37.602309054854167</v>
      </c>
      <c r="D97" s="279">
        <f t="shared" si="154"/>
        <v>35.329950695922456</v>
      </c>
      <c r="E97" s="279">
        <f t="shared" si="154"/>
        <v>34.212725522748286</v>
      </c>
      <c r="F97" s="279">
        <f t="shared" si="154"/>
        <v>32.420676439167835</v>
      </c>
      <c r="G97" s="280">
        <f t="shared" si="154"/>
        <v>7.6216239937727606</v>
      </c>
      <c r="I97" s="278">
        <f t="shared" si="154"/>
        <v>35.80259915404892</v>
      </c>
      <c r="J97" s="279">
        <f t="shared" si="154"/>
        <v>33.807126508842373</v>
      </c>
      <c r="K97" s="279">
        <f t="shared" si="154"/>
        <v>32.76169275151625</v>
      </c>
      <c r="L97" s="279">
        <f t="shared" si="154"/>
        <v>31.38239244987307</v>
      </c>
      <c r="M97" s="280">
        <f t="shared" si="154"/>
        <v>7.6019043378063742</v>
      </c>
      <c r="O97" s="278">
        <f t="shared" si="154"/>
        <v>35.364598401473742</v>
      </c>
      <c r="P97" s="279">
        <f t="shared" si="154"/>
        <v>33.290567694073374</v>
      </c>
      <c r="Q97" s="279">
        <f t="shared" si="154"/>
        <v>33.751891785924329</v>
      </c>
      <c r="R97" s="279">
        <f t="shared" si="154"/>
        <v>31.295587096366312</v>
      </c>
      <c r="S97" s="280">
        <f t="shared" si="154"/>
        <v>9.2537429573095711</v>
      </c>
      <c r="U97" s="278">
        <f t="shared" si="154"/>
        <v>37.728075902510319</v>
      </c>
      <c r="V97" s="279">
        <f t="shared" si="154"/>
        <v>35.096256160921492</v>
      </c>
      <c r="W97" s="279">
        <f t="shared" si="154"/>
        <v>34.869941309845167</v>
      </c>
      <c r="X97" s="279">
        <f t="shared" si="154"/>
        <v>33.181872219545617</v>
      </c>
      <c r="Y97" s="280">
        <f t="shared" si="154"/>
        <v>7.7306098928231908</v>
      </c>
      <c r="AA97" s="278">
        <f t="shared" si="154"/>
        <v>36.286114507833041</v>
      </c>
      <c r="AB97" s="279">
        <f t="shared" si="154"/>
        <v>31.287552198091348</v>
      </c>
      <c r="AC97" s="279">
        <f t="shared" si="154"/>
        <v>30.069112654199117</v>
      </c>
      <c r="AD97" s="279">
        <f t="shared" si="154"/>
        <v>29.909481556786872</v>
      </c>
      <c r="AE97" s="280">
        <f t="shared" si="154"/>
        <v>5.7348461160927346</v>
      </c>
      <c r="AG97" s="278">
        <f t="shared" si="154"/>
        <v>33.140382158125767</v>
      </c>
      <c r="AH97" s="318">
        <f t="shared" si="154"/>
        <v>32.166809085669996</v>
      </c>
      <c r="AI97" s="279">
        <f>AVERAGE(AC97,Q97,K97,K97)</f>
        <v>32.336097485788983</v>
      </c>
      <c r="AJ97" s="279">
        <f>AVERAGE(AD97,R97,L97,L97)</f>
        <v>30.992463388224831</v>
      </c>
      <c r="AK97" s="280">
        <f>AVERAGE(AE97,Y97,S97,M97,M97)</f>
        <v>7.5846015283676493</v>
      </c>
      <c r="AM97" s="278">
        <f>AVERAGE(AG97:AJ97)</f>
        <v>32.158938029452393</v>
      </c>
      <c r="AN97" s="279">
        <f t="shared" ref="AM97:AQ100" si="155">AVERAGE(AH97,AB97,V97,P97,P97)</f>
        <v>33.026350566565917</v>
      </c>
      <c r="AO97" s="279">
        <f t="shared" si="155"/>
        <v>32.955787004336386</v>
      </c>
      <c r="AP97" s="279">
        <f>AVERAGE(AJ97,X97,F97,L97)</f>
        <v>31.994351124202836</v>
      </c>
      <c r="AQ97" s="280">
        <f t="shared" si="155"/>
        <v>7.9115086903805434</v>
      </c>
      <c r="AS97" s="278">
        <f>AVERAGE(AM97:AP97)</f>
        <v>32.533856681139383</v>
      </c>
      <c r="AT97" s="279">
        <f>AVERAGE(AN97:AP97,AS97)</f>
        <v>32.627586344061129</v>
      </c>
      <c r="AU97" s="279">
        <f>AVERAGE(AO97,AI97,AC97,W97)</f>
        <v>32.557734613542415</v>
      </c>
      <c r="AV97" s="279">
        <f>AVERAGE(AP97,AJ97,AD97,X97)</f>
        <v>31.519542072190042</v>
      </c>
      <c r="AW97" s="280">
        <f t="shared" ref="AS97:AW100" si="156">AVERAGE(AQ97,AK97,AE97,Y97,Y97)</f>
        <v>7.3384352240974611</v>
      </c>
      <c r="AY97" s="278">
        <f>AVERAGE(AS97:AV97)</f>
        <v>32.309679927733242</v>
      </c>
      <c r="AZ97" s="279">
        <f>AVERAGE(AT97,AN97,AH97,AB97)</f>
        <v>32.277074548597099</v>
      </c>
      <c r="BA97" s="279">
        <f>AVERAGE(AU97,AO97,AI97,AC97)</f>
        <v>31.979682939466727</v>
      </c>
      <c r="BB97" s="279">
        <f>AVERAGE(AV97,AP97,AJ97,AD97)</f>
        <v>31.103959535351144</v>
      </c>
      <c r="BC97" s="280">
        <f>AVERAGE(AW97,AQ97,AK97,AE97)</f>
        <v>7.1423478897345962</v>
      </c>
      <c r="BE97" s="278">
        <f>AVERAGE(AY97,AS97,AM97,AG97)</f>
        <v>32.535714199112697</v>
      </c>
      <c r="BF97" s="279">
        <f>AVERAGE(AZ97,AT97,AN97,AH97)</f>
        <v>32.524455136223537</v>
      </c>
      <c r="BG97" s="279">
        <f>AVERAGE(BA97,AU97,AO97,AI97)</f>
        <v>32.457325510783626</v>
      </c>
      <c r="BH97" s="279">
        <f>AVERAGE(BB97,AV97,AP97,AJ97)</f>
        <v>31.402579029992214</v>
      </c>
      <c r="BI97" s="280">
        <f>AVERAGE(BC97,AW97,AQ97,AK97)</f>
        <v>7.4942233331450625</v>
      </c>
    </row>
    <row r="98" spans="1:62">
      <c r="A98" s="180" t="s">
        <v>125</v>
      </c>
      <c r="C98" s="281">
        <f t="shared" ref="C98:AH98" si="157">(C38/C5)*90</f>
        <v>47.380066760561633</v>
      </c>
      <c r="D98" s="282">
        <f t="shared" si="157"/>
        <v>44.208018524561361</v>
      </c>
      <c r="E98" s="282">
        <f t="shared" si="157"/>
        <v>38.323573685549661</v>
      </c>
      <c r="F98" s="282">
        <f t="shared" si="157"/>
        <v>40.599001965687755</v>
      </c>
      <c r="G98" s="283">
        <f t="shared" si="157"/>
        <v>9.2592562589292928</v>
      </c>
      <c r="I98" s="281">
        <f t="shared" si="157"/>
        <v>48.090227650137678</v>
      </c>
      <c r="J98" s="282">
        <f t="shared" si="157"/>
        <v>40.059645356996384</v>
      </c>
      <c r="K98" s="282">
        <f t="shared" si="157"/>
        <v>36.34913844292597</v>
      </c>
      <c r="L98" s="282">
        <f t="shared" si="157"/>
        <v>39.248082970155018</v>
      </c>
      <c r="M98" s="283">
        <f t="shared" si="157"/>
        <v>9.5242723718710423</v>
      </c>
      <c r="O98" s="281">
        <f t="shared" si="157"/>
        <v>43.586540033050646</v>
      </c>
      <c r="P98" s="282">
        <f t="shared" si="157"/>
        <v>38.761012132511752</v>
      </c>
      <c r="Q98" s="282">
        <f t="shared" si="157"/>
        <v>39.194949672396611</v>
      </c>
      <c r="R98" s="282">
        <f t="shared" si="157"/>
        <v>37.928927809399795</v>
      </c>
      <c r="S98" s="283">
        <f t="shared" si="157"/>
        <v>11.143339398922713</v>
      </c>
      <c r="U98" s="281">
        <f t="shared" si="157"/>
        <v>45.971301656679735</v>
      </c>
      <c r="V98" s="282">
        <f t="shared" si="157"/>
        <v>46.750687549439327</v>
      </c>
      <c r="W98" s="282">
        <f t="shared" si="157"/>
        <v>38.325732626158484</v>
      </c>
      <c r="X98" s="282">
        <f t="shared" si="157"/>
        <v>46.478721884020693</v>
      </c>
      <c r="Y98" s="283">
        <f t="shared" si="157"/>
        <v>10.422488232487591</v>
      </c>
      <c r="AA98" s="281">
        <f t="shared" si="157"/>
        <v>51.165867014761645</v>
      </c>
      <c r="AB98" s="282">
        <f t="shared" si="157"/>
        <v>41.177846274084466</v>
      </c>
      <c r="AC98" s="282">
        <f t="shared" si="157"/>
        <v>42.249974711288317</v>
      </c>
      <c r="AD98" s="282">
        <f t="shared" si="157"/>
        <v>44.685956668168295</v>
      </c>
      <c r="AE98" s="283">
        <f t="shared" si="157"/>
        <v>8.567434646245415</v>
      </c>
      <c r="AG98" s="281">
        <f t="shared" si="157"/>
        <v>47.873720995225156</v>
      </c>
      <c r="AH98" s="227">
        <f t="shared" si="157"/>
        <v>41.787607398096213</v>
      </c>
      <c r="AI98" s="282">
        <f t="shared" ref="AI98:AI100" si="158">AVERAGE(AC98,W98,Q98,K98,K98)</f>
        <v>38.493786779139072</v>
      </c>
      <c r="AJ98" s="282">
        <f t="shared" ref="AJ98:AK100" si="159">AVERAGE(AD98,X98,R98,L98,L98)</f>
        <v>41.517954460379769</v>
      </c>
      <c r="AK98" s="283">
        <f t="shared" si="159"/>
        <v>9.8363614042795611</v>
      </c>
      <c r="AM98" s="281">
        <f t="shared" si="155"/>
        <v>46.436793946553571</v>
      </c>
      <c r="AN98" s="282">
        <f t="shared" si="155"/>
        <v>41.447633097328705</v>
      </c>
      <c r="AO98" s="282">
        <f t="shared" si="155"/>
        <v>39.491878692275819</v>
      </c>
      <c r="AP98" s="282">
        <f t="shared" si="155"/>
        <v>41.708097726273671</v>
      </c>
      <c r="AQ98" s="283">
        <f t="shared" si="155"/>
        <v>10.222592616171598</v>
      </c>
      <c r="AS98" s="281">
        <f t="shared" si="156"/>
        <v>47.48379705397997</v>
      </c>
      <c r="AT98" s="282">
        <f t="shared" si="156"/>
        <v>43.582892373677609</v>
      </c>
      <c r="AU98" s="282">
        <f t="shared" si="156"/>
        <v>39.377421087004031</v>
      </c>
      <c r="AV98" s="282">
        <f t="shared" si="156"/>
        <v>44.173890524572627</v>
      </c>
      <c r="AW98" s="283">
        <f t="shared" si="156"/>
        <v>9.8942730263343517</v>
      </c>
      <c r="AY98" s="281">
        <f t="shared" ref="AY98:BC100" si="160">AVERAGE(AS98,AM98,AG98,AA98,AA98)</f>
        <v>48.825209205056396</v>
      </c>
      <c r="AZ98" s="282">
        <f t="shared" si="160"/>
        <v>41.834765083454286</v>
      </c>
      <c r="BA98" s="282">
        <f t="shared" si="160"/>
        <v>40.372607196199112</v>
      </c>
      <c r="BB98" s="282">
        <f t="shared" si="160"/>
        <v>43.354371209512536</v>
      </c>
      <c r="BC98" s="283">
        <f t="shared" si="160"/>
        <v>9.4176192678552688</v>
      </c>
      <c r="BE98" s="281">
        <f t="shared" ref="BE98:BI100" si="161">AVERAGE(AY98,AS98,AM98,AG98,AG98)</f>
        <v>47.698648439208043</v>
      </c>
      <c r="BF98" s="282">
        <f t="shared" si="161"/>
        <v>42.088101070130605</v>
      </c>
      <c r="BG98" s="282">
        <f t="shared" si="161"/>
        <v>39.245896106751417</v>
      </c>
      <c r="BH98" s="282">
        <f t="shared" si="161"/>
        <v>42.454453676223679</v>
      </c>
      <c r="BI98" s="283">
        <f t="shared" si="161"/>
        <v>9.8414415437840663</v>
      </c>
    </row>
    <row r="99" spans="1:62">
      <c r="A99" s="180" t="s">
        <v>126</v>
      </c>
      <c r="C99" s="281">
        <f t="shared" ref="C99:AH99" si="162">(C52/C5)*90</f>
        <v>34.075201801790627</v>
      </c>
      <c r="D99" s="282">
        <f t="shared" si="162"/>
        <v>31.771260573809585</v>
      </c>
      <c r="E99" s="282">
        <f t="shared" si="162"/>
        <v>27.511521690357629</v>
      </c>
      <c r="F99" s="282">
        <f t="shared" si="162"/>
        <v>28.782565914022133</v>
      </c>
      <c r="G99" s="283">
        <f t="shared" si="162"/>
        <v>6.5643277096489028</v>
      </c>
      <c r="I99" s="281">
        <f t="shared" si="162"/>
        <v>35.667643411178609</v>
      </c>
      <c r="J99" s="282">
        <f t="shared" si="162"/>
        <v>33.531668260813468</v>
      </c>
      <c r="K99" s="282">
        <f t="shared" si="162"/>
        <v>31.212319248721954</v>
      </c>
      <c r="L99" s="282">
        <f t="shared" si="162"/>
        <v>30.546659445834827</v>
      </c>
      <c r="M99" s="283">
        <f t="shared" si="162"/>
        <v>7.4127112102303299</v>
      </c>
      <c r="O99" s="281">
        <f t="shared" si="162"/>
        <v>37.559790800297819</v>
      </c>
      <c r="P99" s="282">
        <f t="shared" si="162"/>
        <v>34.933190320595443</v>
      </c>
      <c r="Q99" s="282">
        <f t="shared" si="162"/>
        <v>33.98649929643976</v>
      </c>
      <c r="R99" s="282">
        <f t="shared" si="162"/>
        <v>29.025001450387091</v>
      </c>
      <c r="S99" s="283">
        <f t="shared" si="162"/>
        <v>8.5274079942679393</v>
      </c>
      <c r="U99" s="281">
        <f t="shared" si="162"/>
        <v>32.58220339337953</v>
      </c>
      <c r="V99" s="282">
        <f t="shared" si="162"/>
        <v>29.713088492364278</v>
      </c>
      <c r="W99" s="282">
        <f t="shared" si="162"/>
        <v>23.815490901542567</v>
      </c>
      <c r="X99" s="282">
        <f t="shared" si="162"/>
        <v>31.248963960101747</v>
      </c>
      <c r="Y99" s="283">
        <f t="shared" si="162"/>
        <v>7.0073346673407908</v>
      </c>
      <c r="AA99" s="281">
        <f t="shared" si="162"/>
        <v>36.55726340809165</v>
      </c>
      <c r="AB99" s="282">
        <f t="shared" si="162"/>
        <v>25.230098411381906</v>
      </c>
      <c r="AC99" s="282">
        <f t="shared" si="162"/>
        <v>26.13463843547882</v>
      </c>
      <c r="AD99" s="282">
        <f t="shared" si="162"/>
        <v>25.17482013536933</v>
      </c>
      <c r="AE99" s="283">
        <f t="shared" si="162"/>
        <v>4.8266534348228571</v>
      </c>
      <c r="AG99" s="281">
        <f t="shared" si="162"/>
        <v>33.641446323401198</v>
      </c>
      <c r="AH99" s="227">
        <f t="shared" si="162"/>
        <v>32.576235265567441</v>
      </c>
      <c r="AI99" s="282">
        <f t="shared" si="158"/>
        <v>29.27225342618101</v>
      </c>
      <c r="AJ99" s="282">
        <f t="shared" si="159"/>
        <v>29.308420887505566</v>
      </c>
      <c r="AK99" s="283">
        <f t="shared" si="159"/>
        <v>7.0373637033784489</v>
      </c>
      <c r="AM99" s="281">
        <f t="shared" si="155"/>
        <v>35.58009894509361</v>
      </c>
      <c r="AN99" s="282">
        <f t="shared" si="155"/>
        <v>31.477160562100902</v>
      </c>
      <c r="AO99" s="282">
        <f t="shared" si="155"/>
        <v>29.439076271216386</v>
      </c>
      <c r="AP99" s="282">
        <f t="shared" si="155"/>
        <v>28.756441576750166</v>
      </c>
      <c r="AQ99" s="283">
        <f t="shared" si="155"/>
        <v>7.1852335588155949</v>
      </c>
      <c r="AS99" s="281">
        <f t="shared" si="156"/>
        <v>34.188643092669103</v>
      </c>
      <c r="AT99" s="282">
        <f t="shared" si="156"/>
        <v>29.741934244755761</v>
      </c>
      <c r="AU99" s="282">
        <f t="shared" si="156"/>
        <v>26.495389987192272</v>
      </c>
      <c r="AV99" s="282">
        <f t="shared" si="156"/>
        <v>29.147522103965713</v>
      </c>
      <c r="AW99" s="283">
        <f t="shared" si="156"/>
        <v>6.6127840063396972</v>
      </c>
      <c r="AY99" s="281">
        <f t="shared" si="160"/>
        <v>35.304943035469435</v>
      </c>
      <c r="AZ99" s="282">
        <f t="shared" si="160"/>
        <v>28.85110537903758</v>
      </c>
      <c r="BA99" s="282">
        <f t="shared" si="160"/>
        <v>27.495199311109463</v>
      </c>
      <c r="BB99" s="282">
        <f t="shared" si="160"/>
        <v>27.512404967792019</v>
      </c>
      <c r="BC99" s="283">
        <f t="shared" si="160"/>
        <v>6.0977376276358912</v>
      </c>
      <c r="BE99" s="281">
        <f t="shared" si="161"/>
        <v>34.471315544006913</v>
      </c>
      <c r="BF99" s="282">
        <f t="shared" si="161"/>
        <v>31.044534143405826</v>
      </c>
      <c r="BG99" s="282">
        <f t="shared" si="161"/>
        <v>28.39483448437603</v>
      </c>
      <c r="BH99" s="282">
        <f t="shared" si="161"/>
        <v>28.806642084703803</v>
      </c>
      <c r="BI99" s="283">
        <f t="shared" si="161"/>
        <v>6.7940965199096173</v>
      </c>
    </row>
    <row r="100" spans="1:62" s="274" customFormat="1" ht="15">
      <c r="A100" s="215" t="s">
        <v>127</v>
      </c>
      <c r="B100"/>
      <c r="C100" s="284">
        <f>C97+C98-C99</f>
        <v>50.907174013625166</v>
      </c>
      <c r="D100" s="285">
        <f t="shared" ref="D100:AH100" si="163">D97+D98-D99</f>
        <v>47.766708646674232</v>
      </c>
      <c r="E100" s="285">
        <f t="shared" si="163"/>
        <v>45.024777517940322</v>
      </c>
      <c r="F100" s="285">
        <f t="shared" si="163"/>
        <v>44.237112490833468</v>
      </c>
      <c r="G100" s="286">
        <f t="shared" si="163"/>
        <v>10.316552543053149</v>
      </c>
      <c r="H100"/>
      <c r="I100" s="284">
        <f t="shared" si="163"/>
        <v>48.225183393007988</v>
      </c>
      <c r="J100" s="285">
        <f t="shared" si="163"/>
        <v>40.335103605025289</v>
      </c>
      <c r="K100" s="285">
        <f t="shared" si="163"/>
        <v>37.898511945720273</v>
      </c>
      <c r="L100" s="285">
        <f t="shared" si="163"/>
        <v>40.083815974193264</v>
      </c>
      <c r="M100" s="286">
        <f t="shared" si="163"/>
        <v>9.7134654994470857</v>
      </c>
      <c r="N100"/>
      <c r="O100" s="284">
        <f t="shared" si="163"/>
        <v>41.391347634226562</v>
      </c>
      <c r="P100" s="285">
        <f t="shared" si="163"/>
        <v>37.118389505989683</v>
      </c>
      <c r="Q100" s="285">
        <f t="shared" si="163"/>
        <v>38.960342161881172</v>
      </c>
      <c r="R100" s="285">
        <f t="shared" si="163"/>
        <v>40.199513455379019</v>
      </c>
      <c r="S100" s="286">
        <f t="shared" si="163"/>
        <v>11.869674361964343</v>
      </c>
      <c r="T100"/>
      <c r="U100" s="284">
        <f t="shared" si="163"/>
        <v>51.117174165810525</v>
      </c>
      <c r="V100" s="285">
        <f t="shared" si="163"/>
        <v>52.13385521799654</v>
      </c>
      <c r="W100" s="285">
        <f t="shared" si="163"/>
        <v>49.380183034461091</v>
      </c>
      <c r="X100" s="285">
        <f t="shared" si="163"/>
        <v>48.411630143464564</v>
      </c>
      <c r="Y100" s="286">
        <f t="shared" si="163"/>
        <v>11.145763457969993</v>
      </c>
      <c r="Z100"/>
      <c r="AA100" s="284">
        <f t="shared" si="163"/>
        <v>50.894718114503029</v>
      </c>
      <c r="AB100" s="285">
        <f t="shared" si="163"/>
        <v>47.235300060793918</v>
      </c>
      <c r="AC100" s="285">
        <f t="shared" si="163"/>
        <v>46.184448930008614</v>
      </c>
      <c r="AD100" s="285">
        <f t="shared" si="163"/>
        <v>49.42061808958583</v>
      </c>
      <c r="AE100" s="286">
        <f t="shared" si="163"/>
        <v>9.4756273275152925</v>
      </c>
      <c r="AF100"/>
      <c r="AG100" s="284">
        <f t="shared" si="163"/>
        <v>47.372656829949733</v>
      </c>
      <c r="AH100" s="228">
        <f t="shared" si="163"/>
        <v>41.378181218198769</v>
      </c>
      <c r="AI100" s="285">
        <f t="shared" si="158"/>
        <v>42.064399603558272</v>
      </c>
      <c r="AJ100" s="285">
        <f t="shared" si="159"/>
        <v>43.63987872736319</v>
      </c>
      <c r="AK100" s="286">
        <f t="shared" si="159"/>
        <v>10.383599229268759</v>
      </c>
      <c r="AL100"/>
      <c r="AM100" s="284">
        <f t="shared" si="155"/>
        <v>46.433448875743281</v>
      </c>
      <c r="AN100" s="285">
        <f t="shared" si="155"/>
        <v>42.996823101793716</v>
      </c>
      <c r="AO100" s="285">
        <f t="shared" si="155"/>
        <v>43.109943178358058</v>
      </c>
      <c r="AP100" s="285">
        <f t="shared" si="155"/>
        <v>44.37423077423432</v>
      </c>
      <c r="AQ100" s="286">
        <f t="shared" si="155"/>
        <v>10.948867747736546</v>
      </c>
      <c r="AR100"/>
      <c r="AS100" s="284">
        <f t="shared" si="156"/>
        <v>49.387034430363414</v>
      </c>
      <c r="AT100" s="285">
        <f t="shared" si="156"/>
        <v>47.1756029633559</v>
      </c>
      <c r="AU100" s="285">
        <f t="shared" si="156"/>
        <v>46.023831556169419</v>
      </c>
      <c r="AV100" s="285">
        <f t="shared" si="156"/>
        <v>46.851597575622485</v>
      </c>
      <c r="AW100" s="286">
        <f t="shared" si="156"/>
        <v>10.619924244092115</v>
      </c>
      <c r="AX100"/>
      <c r="AY100" s="284">
        <f t="shared" si="160"/>
        <v>48.996515273012498</v>
      </c>
      <c r="AZ100" s="285">
        <f t="shared" si="160"/>
        <v>45.204241480987243</v>
      </c>
      <c r="BA100" s="285">
        <f t="shared" si="160"/>
        <v>44.713414439620593</v>
      </c>
      <c r="BB100" s="285">
        <f t="shared" si="160"/>
        <v>46.741388651278342</v>
      </c>
      <c r="BC100" s="286">
        <f t="shared" si="160"/>
        <v>10.180729175225601</v>
      </c>
      <c r="BD100"/>
      <c r="BE100" s="284">
        <f t="shared" si="161"/>
        <v>47.912462447803726</v>
      </c>
      <c r="BF100" s="285">
        <f t="shared" si="161"/>
        <v>43.626605996506882</v>
      </c>
      <c r="BG100" s="285">
        <f t="shared" si="161"/>
        <v>43.59519767625293</v>
      </c>
      <c r="BH100" s="285">
        <f t="shared" si="161"/>
        <v>45.049394891172305</v>
      </c>
      <c r="BI100" s="286">
        <f t="shared" si="161"/>
        <v>10.503343925118356</v>
      </c>
    </row>
    <row r="101" spans="1:62">
      <c r="A101" s="180"/>
      <c r="C101" s="74"/>
      <c r="G101" s="75"/>
      <c r="I101" s="74"/>
      <c r="M101" s="75"/>
      <c r="O101" s="74"/>
      <c r="S101" s="75"/>
      <c r="U101" s="74"/>
      <c r="Y101" s="75"/>
      <c r="AA101" s="74"/>
      <c r="AE101" s="75"/>
      <c r="AG101" s="74"/>
      <c r="AH101" s="224"/>
      <c r="AK101" s="75"/>
      <c r="AM101" s="74"/>
      <c r="AQ101" s="75"/>
      <c r="AS101" s="74"/>
      <c r="AW101" s="75"/>
      <c r="AY101" s="74"/>
      <c r="BC101" s="75"/>
      <c r="BE101" s="74"/>
      <c r="BI101" s="75"/>
    </row>
    <row r="102" spans="1:62">
      <c r="A102" s="180"/>
      <c r="C102" s="74"/>
      <c r="G102" s="75"/>
      <c r="I102" s="74"/>
      <c r="M102" s="75"/>
      <c r="O102" s="74"/>
      <c r="S102" s="75"/>
      <c r="U102" s="74"/>
      <c r="Y102" s="75"/>
      <c r="AA102" s="74"/>
      <c r="AE102" s="75"/>
      <c r="AG102" s="74"/>
      <c r="AH102" s="224"/>
      <c r="AK102" s="75"/>
      <c r="AM102" s="74"/>
      <c r="AQ102" s="75"/>
      <c r="AS102" s="74"/>
      <c r="AW102" s="75"/>
      <c r="AY102" s="74"/>
      <c r="BC102" s="75"/>
      <c r="BE102" s="74"/>
      <c r="BI102" s="75"/>
    </row>
    <row r="103" spans="1:62">
      <c r="A103" s="180" t="s">
        <v>128</v>
      </c>
      <c r="C103" s="267">
        <f>C36+C38-C52</f>
        <v>901060</v>
      </c>
      <c r="D103" s="268">
        <f>D36+D38-D52</f>
        <v>1040604</v>
      </c>
      <c r="E103" s="268">
        <f>E36+E38-E52</f>
        <v>997013</v>
      </c>
      <c r="F103" s="268">
        <f>F36+F38-F52</f>
        <v>827898</v>
      </c>
      <c r="G103" s="269">
        <f>G36+G38-G52</f>
        <v>827898</v>
      </c>
      <c r="I103" s="267">
        <f>I36+I38-I52</f>
        <v>813103</v>
      </c>
      <c r="J103" s="268">
        <f>J36+J38-J52</f>
        <v>816035</v>
      </c>
      <c r="K103" s="268">
        <f>K36+K38-K52</f>
        <v>803317</v>
      </c>
      <c r="L103" s="268">
        <f>L36+L38-L52</f>
        <v>739378</v>
      </c>
      <c r="M103" s="269">
        <f>M36+M38-M52</f>
        <v>739378</v>
      </c>
      <c r="O103" s="267">
        <f>O36+O38-O52</f>
        <v>790692</v>
      </c>
      <c r="P103" s="268">
        <f>P36+P38-P52</f>
        <v>780432</v>
      </c>
      <c r="Q103" s="268">
        <f>Q36+Q38-Q52</f>
        <v>960659</v>
      </c>
      <c r="R103" s="268">
        <f>R36+R38-R52</f>
        <v>1064188</v>
      </c>
      <c r="S103" s="269">
        <f>S36+S38-S52</f>
        <v>1064188</v>
      </c>
      <c r="U103" s="267">
        <f>U36+U38-U52</f>
        <v>2211458</v>
      </c>
      <c r="V103" s="268">
        <f>V36+V38-V52</f>
        <v>2930676</v>
      </c>
      <c r="W103" s="268">
        <f>W36+W38-W52</f>
        <v>2746301</v>
      </c>
      <c r="X103" s="268">
        <f>X36+X38-X52</f>
        <v>2241670</v>
      </c>
      <c r="Y103" s="269">
        <f>Y36+Y38-Y52</f>
        <v>2241670</v>
      </c>
      <c r="AA103" s="267">
        <f>AA36+AA38-AA52</f>
        <v>2915235</v>
      </c>
      <c r="AB103" s="268">
        <f>AB36+AB38-AB52</f>
        <v>3207729</v>
      </c>
      <c r="AC103" s="268">
        <f>AC36+AC38-AC52</f>
        <v>2595799</v>
      </c>
      <c r="AD103" s="268">
        <f>AD36+AD38-AD52</f>
        <v>2070856</v>
      </c>
      <c r="AE103" s="269">
        <f>AE36+AE38-AE52</f>
        <v>2070856</v>
      </c>
      <c r="AG103" s="267">
        <f>AG36+AG38-AG52</f>
        <v>1827164</v>
      </c>
      <c r="AH103" s="225">
        <f>AH36+AH38-AH52</f>
        <v>1918951</v>
      </c>
      <c r="AI103" s="268">
        <f>AI36+AI38-AI52</f>
        <v>2084351.1341942321</v>
      </c>
      <c r="AJ103" s="268">
        <f>AJ36+AJ38-AJ52</f>
        <v>1732590.5372154303</v>
      </c>
      <c r="AK103" s="269">
        <f>AK36+AK38-AK52</f>
        <v>1732590.5372154303</v>
      </c>
      <c r="AM103" s="267">
        <f>AM36+AM38-AM52</f>
        <v>1787196.3640622583</v>
      </c>
      <c r="AN103" s="268">
        <f>AN36+AN38-AN52</f>
        <v>2158663.4280872252</v>
      </c>
      <c r="AO103" s="268">
        <f>AO36+AO38-AO52</f>
        <v>2592597.8034917172</v>
      </c>
      <c r="AP103" s="268">
        <f>AP36+AP38-AP52</f>
        <v>1939356.9684322397</v>
      </c>
      <c r="AQ103" s="269">
        <f>AQ36+AQ38-AQ52</f>
        <v>1939356.9684322397</v>
      </c>
      <c r="AS103" s="267">
        <f>AS36+AS38-AS52</f>
        <v>1968383.8341715855</v>
      </c>
      <c r="AT103" s="268">
        <f>AT36+AT38-AT52</f>
        <v>2568643.5835993011</v>
      </c>
      <c r="AU103" s="268">
        <f>AU36+AU38-AU52</f>
        <v>3111667.2131508659</v>
      </c>
      <c r="AV103" s="268">
        <f>AV36+AV38-AV52</f>
        <v>2293547.0598019287</v>
      </c>
      <c r="AW103" s="269">
        <f>AW36+AW38-AW52</f>
        <v>2293547.0598019287</v>
      </c>
      <c r="AY103" s="267">
        <f>AY36+AY38-AY52</f>
        <v>2035919.2280381152</v>
      </c>
      <c r="AZ103" s="268">
        <f>AZ36+AZ38-AZ52</f>
        <v>2677448.7558448999</v>
      </c>
      <c r="BA103" s="268">
        <f>BA36+BA38-BA52</f>
        <v>3249325.5948201893</v>
      </c>
      <c r="BB103" s="268">
        <f>BB36+BB38-BB52</f>
        <v>2518649.9972174875</v>
      </c>
      <c r="BC103" s="269">
        <f>BC36+BC38-BC52</f>
        <v>2518649.9972174875</v>
      </c>
      <c r="BE103" s="267">
        <f>BE36+BE38-BE52</f>
        <v>2111158.0250702435</v>
      </c>
      <c r="BF103" s="268">
        <f>BF36+BF38-BF52</f>
        <v>2946356.6141754631</v>
      </c>
      <c r="BG103" s="268">
        <f>BG36+BG38-BG52</f>
        <v>3429827.1390403602</v>
      </c>
      <c r="BH103" s="268">
        <f>BH36+BH38-BH52</f>
        <v>2654463.9090010216</v>
      </c>
      <c r="BI103" s="269">
        <f>BI36+BI38-BI52</f>
        <v>2654463.9090010216</v>
      </c>
    </row>
    <row r="104" spans="1:62">
      <c r="A104" s="180" t="s">
        <v>129</v>
      </c>
      <c r="C104" s="74"/>
      <c r="G104" s="75"/>
      <c r="I104" s="74"/>
      <c r="M104" s="269">
        <f>M103-G103</f>
        <v>-88520</v>
      </c>
      <c r="O104" s="74"/>
      <c r="S104" s="269">
        <f>S103-M103</f>
        <v>324810</v>
      </c>
      <c r="U104" s="74"/>
      <c r="Y104" s="269">
        <f>Y103-S103</f>
        <v>1177482</v>
      </c>
      <c r="AA104" s="74"/>
      <c r="AE104" s="269">
        <f>AE103-Y103</f>
        <v>-170814</v>
      </c>
      <c r="AG104" s="74"/>
      <c r="AH104" s="224"/>
      <c r="AI104" s="268">
        <f>AI103-AC103</f>
        <v>-511447.86580576794</v>
      </c>
      <c r="AJ104" s="268">
        <f>AJ103-AD103</f>
        <v>-338265.46278456971</v>
      </c>
      <c r="AK104" s="269">
        <f>AK103-AE103</f>
        <v>-338265.46278456971</v>
      </c>
      <c r="AM104" s="74"/>
      <c r="AQ104" s="269">
        <f>AQ103-AK103</f>
        <v>206766.43121680943</v>
      </c>
      <c r="AS104" s="74"/>
      <c r="AW104" s="269">
        <f>AW103-AQ103</f>
        <v>354190.09136968898</v>
      </c>
      <c r="AY104" s="74"/>
      <c r="BC104" s="269">
        <f>BC103-AW103</f>
        <v>225102.93741555884</v>
      </c>
      <c r="BE104" s="74"/>
      <c r="BI104" s="269">
        <f>BI103-BC103</f>
        <v>135813.9117835341</v>
      </c>
    </row>
    <row r="105" spans="1:62">
      <c r="A105" s="180"/>
      <c r="C105" s="74"/>
      <c r="G105" s="75"/>
      <c r="I105" s="74"/>
      <c r="M105" s="75"/>
      <c r="O105" s="74"/>
      <c r="S105" s="75"/>
      <c r="U105" s="74"/>
      <c r="Y105" s="75"/>
      <c r="AA105" s="74"/>
      <c r="AE105" s="75"/>
      <c r="AG105" s="74"/>
      <c r="AH105" s="224"/>
      <c r="AK105" s="75"/>
      <c r="AM105" s="74"/>
      <c r="AQ105" s="75"/>
      <c r="AS105" s="74"/>
      <c r="AW105" s="75"/>
      <c r="AY105" s="74"/>
      <c r="BC105" s="75"/>
      <c r="BE105" s="74"/>
      <c r="BI105" s="75"/>
    </row>
    <row r="106" spans="1:62">
      <c r="A106" s="215" t="s">
        <v>130</v>
      </c>
      <c r="C106" s="74"/>
      <c r="G106" s="75"/>
      <c r="I106" s="74"/>
      <c r="M106" s="75"/>
      <c r="O106" s="74"/>
      <c r="S106" s="75"/>
      <c r="U106" s="74"/>
      <c r="Y106" s="75"/>
      <c r="AA106" s="74"/>
      <c r="AE106" s="75"/>
      <c r="AG106" s="74"/>
      <c r="AH106" s="224"/>
      <c r="AK106" s="75"/>
      <c r="AM106" s="74"/>
      <c r="AQ106" s="75"/>
      <c r="AS106" s="74"/>
      <c r="AW106" s="75"/>
      <c r="AY106" s="74"/>
      <c r="BC106" s="75"/>
      <c r="BE106" s="74"/>
      <c r="BI106" s="75"/>
    </row>
    <row r="107" spans="1:62">
      <c r="A107" s="180" t="s">
        <v>131</v>
      </c>
      <c r="C107" s="74"/>
      <c r="G107" s="75"/>
      <c r="I107" s="74"/>
      <c r="M107" s="75"/>
      <c r="O107" s="74"/>
      <c r="S107" s="75"/>
      <c r="U107" s="74"/>
      <c r="Y107" s="75"/>
      <c r="AA107" s="74"/>
      <c r="AE107" s="75"/>
      <c r="AG107" s="74"/>
      <c r="AH107" s="224"/>
      <c r="AI107" s="268">
        <f>AH42</f>
        <v>1676244</v>
      </c>
      <c r="AJ107" s="268">
        <f>AI42</f>
        <v>1654583.7902840143</v>
      </c>
      <c r="AK107" s="269"/>
      <c r="AM107" s="267">
        <f>AK42</f>
        <v>1672812.8677658164</v>
      </c>
      <c r="AN107" s="268">
        <f>AM42</f>
        <v>1664668.1477607102</v>
      </c>
      <c r="AO107" s="268">
        <f>AN42</f>
        <v>1634357.1806212324</v>
      </c>
      <c r="AP107" s="268">
        <f>AO42</f>
        <v>1596937.947718597</v>
      </c>
      <c r="AQ107" s="269"/>
      <c r="AS107" s="267">
        <f>AQ42</f>
        <v>1637430.0658009017</v>
      </c>
      <c r="AT107" s="268">
        <f>AS42</f>
        <v>1658869.5528425847</v>
      </c>
      <c r="AU107" s="268">
        <f>AT42</f>
        <v>1669658.6880169557</v>
      </c>
      <c r="AV107" s="268">
        <f>AU42</f>
        <v>1683384.1999629317</v>
      </c>
      <c r="AW107" s="269"/>
      <c r="AY107" s="267">
        <f>AW42</f>
        <v>1758419.7904344841</v>
      </c>
      <c r="AZ107" s="268">
        <f>AY42</f>
        <v>1772841.7945719869</v>
      </c>
      <c r="BA107" s="268">
        <f>AZ42</f>
        <v>1770649.2054848487</v>
      </c>
      <c r="BB107" s="268">
        <f>BA42</f>
        <v>1774541.2622522807</v>
      </c>
      <c r="BC107" s="269"/>
      <c r="BE107" s="267">
        <f>BC42</f>
        <v>1841147.5540886901</v>
      </c>
      <c r="BF107" s="268">
        <f>BE42</f>
        <v>1848202.4918116929</v>
      </c>
      <c r="BG107" s="268">
        <f>BF42</f>
        <v>1824100.0286097007</v>
      </c>
      <c r="BH107" s="268">
        <f>BG42</f>
        <v>1822794.8817851911</v>
      </c>
      <c r="BI107" s="269"/>
    </row>
    <row r="108" spans="1:62">
      <c r="A108" s="232" t="s">
        <v>132</v>
      </c>
      <c r="C108" s="74"/>
      <c r="G108" s="75"/>
      <c r="I108" s="74"/>
      <c r="M108" s="75"/>
      <c r="O108" s="74"/>
      <c r="S108" s="75"/>
      <c r="U108" s="74"/>
      <c r="Y108" s="75"/>
      <c r="AA108" s="74"/>
      <c r="AE108" s="75"/>
      <c r="AG108" s="74"/>
      <c r="AH108" s="224"/>
      <c r="AI108" s="268">
        <f>AH93*-1</f>
        <v>125465</v>
      </c>
      <c r="AJ108" s="268">
        <f>AI93*-1</f>
        <v>146917.30649999998</v>
      </c>
      <c r="AK108" s="269"/>
      <c r="AM108" s="267">
        <f>AM93*-1</f>
        <v>122324.391</v>
      </c>
      <c r="AN108" s="268">
        <f>AM93*-1</f>
        <v>122324.391</v>
      </c>
      <c r="AO108" s="268">
        <f>AN93*-1</f>
        <v>146736.03599999999</v>
      </c>
      <c r="AP108" s="268">
        <f>AO93*-1</f>
        <v>176300.76779999997</v>
      </c>
      <c r="AQ108" s="269"/>
      <c r="AS108" s="267">
        <f>AS93*-1</f>
        <v>128440.61055000001</v>
      </c>
      <c r="AT108" s="268">
        <f>AS93*-1</f>
        <v>128440.61055000001</v>
      </c>
      <c r="AU108" s="268">
        <f>AT93*-1</f>
        <v>164344.36032000001</v>
      </c>
      <c r="AV108" s="268">
        <f>AU93*-1</f>
        <v>202745.88296999998</v>
      </c>
      <c r="AW108" s="269"/>
      <c r="AY108" s="267">
        <f>AY93*-1</f>
        <v>133086.79724317437</v>
      </c>
      <c r="AZ108" s="268">
        <f>AY93*-1</f>
        <v>133086.79724317437</v>
      </c>
      <c r="BA108" s="268">
        <f>AZ93*-1</f>
        <v>176666.83951238467</v>
      </c>
      <c r="BB108" s="268">
        <f>BA93*-1</f>
        <v>216418.31193716609</v>
      </c>
      <c r="BC108" s="269"/>
      <c r="BE108" s="267">
        <f>BE93*-1</f>
        <v>137901.05422732129</v>
      </c>
      <c r="BF108" s="268">
        <f>BE93*-1</f>
        <v>137901.05422732129</v>
      </c>
      <c r="BG108" s="268">
        <f>BF93*-1</f>
        <v>199500.28685599481</v>
      </c>
      <c r="BH108" s="268">
        <f>BG93*-1</f>
        <v>233445.16650396481</v>
      </c>
      <c r="BI108" s="269"/>
      <c r="BJ108" s="268"/>
    </row>
    <row r="109" spans="1:62" ht="18.75">
      <c r="A109" s="232" t="s">
        <v>133</v>
      </c>
      <c r="C109" s="74"/>
      <c r="G109" s="75"/>
      <c r="I109" s="74"/>
      <c r="M109" s="75"/>
      <c r="O109" s="74"/>
      <c r="S109" s="75"/>
      <c r="U109" s="74"/>
      <c r="Y109" s="75"/>
      <c r="AA109" s="74"/>
      <c r="AE109" s="75"/>
      <c r="AG109" s="74"/>
      <c r="AH109" s="224"/>
      <c r="AI109" s="300">
        <f>AI10</f>
        <v>147125.20971598575</v>
      </c>
      <c r="AJ109" s="300">
        <f>AJ10</f>
        <v>128688.22901819795</v>
      </c>
      <c r="AK109" s="301"/>
      <c r="AM109" s="325">
        <f>AM10</f>
        <v>130469.1110051062</v>
      </c>
      <c r="AN109" s="300">
        <f>AN10</f>
        <v>152635.35813947787</v>
      </c>
      <c r="AO109" s="300">
        <f>AO10</f>
        <v>184155.26890263555</v>
      </c>
      <c r="AP109" s="300">
        <f>AP10</f>
        <v>135808.64971769531</v>
      </c>
      <c r="AQ109" s="301"/>
      <c r="AS109" s="325">
        <f>AS10</f>
        <v>107001.12350831706</v>
      </c>
      <c r="AT109" s="300">
        <f>AT10</f>
        <v>117651.47537562915</v>
      </c>
      <c r="AU109" s="300">
        <f>AU10</f>
        <v>150618.84837402406</v>
      </c>
      <c r="AV109" s="300">
        <f>AV10</f>
        <v>127710.29249844757</v>
      </c>
      <c r="AW109" s="301"/>
      <c r="AY109" s="325">
        <f>AY10</f>
        <v>118664.79310567171</v>
      </c>
      <c r="AZ109" s="300">
        <f>AZ10</f>
        <v>135279.38633031255</v>
      </c>
      <c r="BA109" s="300">
        <f>BA10</f>
        <v>172774.78274495274</v>
      </c>
      <c r="BB109" s="300">
        <f>BB10</f>
        <v>149812.02010075678</v>
      </c>
      <c r="BC109" s="301"/>
      <c r="BE109" s="325">
        <f>BE10</f>
        <v>130846.11650431821</v>
      </c>
      <c r="BF109" s="300">
        <f>BF10</f>
        <v>162003.51742931348</v>
      </c>
      <c r="BG109" s="300">
        <f>BG10</f>
        <v>200805.43368050441</v>
      </c>
      <c r="BH109" s="300">
        <f>BH10</f>
        <v>178125.64224039673</v>
      </c>
      <c r="BI109" s="301"/>
    </row>
    <row r="110" spans="1:62" s="274" customFormat="1" ht="15">
      <c r="A110" s="215" t="s">
        <v>134</v>
      </c>
      <c r="B110"/>
      <c r="C110" s="273"/>
      <c r="G110" s="275"/>
      <c r="H110"/>
      <c r="I110" s="273"/>
      <c r="M110" s="275"/>
      <c r="N110"/>
      <c r="O110" s="273"/>
      <c r="S110" s="275"/>
      <c r="T110"/>
      <c r="U110" s="273"/>
      <c r="Y110" s="275"/>
      <c r="Z110"/>
      <c r="AA110" s="273"/>
      <c r="AE110" s="275"/>
      <c r="AF110"/>
      <c r="AG110" s="273"/>
      <c r="AH110" s="226"/>
      <c r="AI110" s="246">
        <f>AI107+AI108-AI109</f>
        <v>1654583.7902840143</v>
      </c>
      <c r="AJ110" s="246">
        <f>AJ107+AJ108-AJ109</f>
        <v>1672812.8677658164</v>
      </c>
      <c r="AK110" s="275"/>
      <c r="AL110"/>
      <c r="AM110" s="245">
        <f>AM107+AM108-AM109</f>
        <v>1664668.1477607102</v>
      </c>
      <c r="AN110" s="246">
        <f>AN107+AN108-AN109</f>
        <v>1634357.1806212324</v>
      </c>
      <c r="AO110" s="246">
        <f>AO107+AO108-AO109</f>
        <v>1596937.947718597</v>
      </c>
      <c r="AP110" s="246">
        <f>AP107+AP108-AP109</f>
        <v>1637430.0658009017</v>
      </c>
      <c r="AQ110" s="275"/>
      <c r="AR110"/>
      <c r="AS110" s="245">
        <f>AS107+AS108-AS109</f>
        <v>1658869.5528425847</v>
      </c>
      <c r="AT110" s="246">
        <f>AT107+AT108-AT109</f>
        <v>1669658.6880169557</v>
      </c>
      <c r="AU110" s="246">
        <f>AU107+AU108-AU109</f>
        <v>1683384.1999629317</v>
      </c>
      <c r="AV110" s="246">
        <f>AV107+AV108-AV109</f>
        <v>1758419.7904344841</v>
      </c>
      <c r="AW110" s="275"/>
      <c r="AX110"/>
      <c r="AY110" s="245">
        <f>AY107+AY108-AY109</f>
        <v>1772841.7945719869</v>
      </c>
      <c r="AZ110" s="246">
        <f>AZ107+AZ108-AZ109</f>
        <v>1770649.2054848487</v>
      </c>
      <c r="BA110" s="246">
        <f>BA107+BA108-BA109</f>
        <v>1774541.2622522807</v>
      </c>
      <c r="BB110" s="246">
        <f>BB107+BB108-BB109</f>
        <v>1841147.5540886901</v>
      </c>
      <c r="BC110" s="275"/>
      <c r="BD110"/>
      <c r="BE110" s="245">
        <f>BE107+BE108-BE109</f>
        <v>1848202.4918116929</v>
      </c>
      <c r="BF110" s="246">
        <f>BF107+BF108-BF109</f>
        <v>1824100.0286097007</v>
      </c>
      <c r="BG110" s="246">
        <f>BG107+BG108-BG109</f>
        <v>1822794.8817851911</v>
      </c>
      <c r="BH110" s="246">
        <f>BH107+BH108-BH109</f>
        <v>1878114.4060487594</v>
      </c>
      <c r="BI110" s="275"/>
    </row>
    <row r="111" spans="1:62">
      <c r="A111" s="180" t="s">
        <v>135</v>
      </c>
      <c r="C111" s="257">
        <f>C93/C4</f>
        <v>-1.1828142899820987E-2</v>
      </c>
      <c r="D111" s="258">
        <f>D93/D4</f>
        <v>-1.4275884640708019E-2</v>
      </c>
      <c r="E111" s="258">
        <f>E93/E4</f>
        <v>-1.3568774023857817E-2</v>
      </c>
      <c r="F111" s="258">
        <f>F93/F4</f>
        <v>-1.2510049670150552E-2</v>
      </c>
      <c r="G111" s="259">
        <f>G93/G4</f>
        <v>-1.3128026707846744E-2</v>
      </c>
      <c r="I111" s="257">
        <f>I93/I4</f>
        <v>-1.3194384846441488E-2</v>
      </c>
      <c r="J111" s="258">
        <f>J93/J4</f>
        <v>-1.2532271860198065E-2</v>
      </c>
      <c r="K111" s="258">
        <f>K93/K4</f>
        <v>-1.6428281176253827E-2</v>
      </c>
      <c r="L111" s="258">
        <f>L93/L4</f>
        <v>-1.9808082795551983E-2</v>
      </c>
      <c r="M111" s="259">
        <f>M93/M4</f>
        <v>-1.5503203038391545E-2</v>
      </c>
      <c r="O111" s="257">
        <f>O93/O4</f>
        <v>-1.5947210469267011E-2</v>
      </c>
      <c r="P111" s="258">
        <f>P93/P4</f>
        <v>-1.3523035829286257E-2</v>
      </c>
      <c r="Q111" s="258">
        <f>Q93/Q4</f>
        <v>-1.2502559411008734E-2</v>
      </c>
      <c r="R111" s="258">
        <f>R93/R4</f>
        <v>-1.1290679479681993E-2</v>
      </c>
      <c r="S111" s="259">
        <f>S93/S4</f>
        <v>-1.3095414186492288E-2</v>
      </c>
      <c r="U111" s="257">
        <f>U93/U4</f>
        <v>-9.4070715359596529E-3</v>
      </c>
      <c r="V111" s="258">
        <f>V93/V4</f>
        <v>-1.0585147225536619E-2</v>
      </c>
      <c r="W111" s="258">
        <f>W93/W4</f>
        <v>-1.1234453825752144E-2</v>
      </c>
      <c r="X111" s="258">
        <f>X93/X4</f>
        <v>-1.4609447767966275E-2</v>
      </c>
      <c r="Y111" s="259">
        <f>Y93/Y4</f>
        <v>-1.1455345811289677E-2</v>
      </c>
      <c r="AA111" s="257">
        <f>AA93/AA4</f>
        <v>-8.884674548078543E-3</v>
      </c>
      <c r="AB111" s="258">
        <f>AB93/AB4</f>
        <v>-9.9711835783212847E-3</v>
      </c>
      <c r="AC111" s="258">
        <f>AC93/AC4</f>
        <v>-1.487521485428267E-2</v>
      </c>
      <c r="AD111" s="258">
        <f>AD93/AD4</f>
        <v>-3.0960180743144394E-2</v>
      </c>
      <c r="AE111" s="259">
        <f>AE93/AE4</f>
        <v>-1.4967250888371409E-2</v>
      </c>
      <c r="AG111" s="257">
        <f>AG93/AG4</f>
        <v>-2.7204856470530069E-2</v>
      </c>
      <c r="AH111" s="223">
        <f>AH93/AH4</f>
        <v>-2.7703256206266878E-2</v>
      </c>
      <c r="AI111" s="258">
        <v>-0.03</v>
      </c>
      <c r="AJ111" s="306">
        <f t="shared" ref="AJ111:BI111" si="164">$AI$111</f>
        <v>-0.03</v>
      </c>
      <c r="AK111" s="307">
        <f t="shared" si="164"/>
        <v>-0.03</v>
      </c>
      <c r="AM111" s="327">
        <f t="shared" si="164"/>
        <v>-0.03</v>
      </c>
      <c r="AN111" s="306">
        <f t="shared" si="164"/>
        <v>-0.03</v>
      </c>
      <c r="AO111" s="306">
        <f t="shared" si="164"/>
        <v>-0.03</v>
      </c>
      <c r="AP111" s="306">
        <f t="shared" si="164"/>
        <v>-0.03</v>
      </c>
      <c r="AQ111" s="307">
        <f t="shared" si="164"/>
        <v>-0.03</v>
      </c>
      <c r="AS111" s="327">
        <f t="shared" si="164"/>
        <v>-0.03</v>
      </c>
      <c r="AT111" s="306">
        <f t="shared" si="164"/>
        <v>-0.03</v>
      </c>
      <c r="AU111" s="306">
        <f t="shared" si="164"/>
        <v>-0.03</v>
      </c>
      <c r="AV111" s="306">
        <f t="shared" si="164"/>
        <v>-0.03</v>
      </c>
      <c r="AW111" s="307">
        <f t="shared" si="164"/>
        <v>-0.03</v>
      </c>
      <c r="AY111" s="327">
        <f t="shared" si="164"/>
        <v>-0.03</v>
      </c>
      <c r="AZ111" s="306">
        <f t="shared" si="164"/>
        <v>-0.03</v>
      </c>
      <c r="BA111" s="306">
        <f t="shared" si="164"/>
        <v>-0.03</v>
      </c>
      <c r="BB111" s="306">
        <f t="shared" si="164"/>
        <v>-0.03</v>
      </c>
      <c r="BC111" s="307">
        <f t="shared" si="164"/>
        <v>-0.03</v>
      </c>
      <c r="BE111" s="327">
        <f t="shared" si="164"/>
        <v>-0.03</v>
      </c>
      <c r="BF111" s="306">
        <f t="shared" si="164"/>
        <v>-0.03</v>
      </c>
      <c r="BG111" s="306">
        <f t="shared" si="164"/>
        <v>-0.03</v>
      </c>
      <c r="BH111" s="306">
        <f t="shared" si="164"/>
        <v>-0.03</v>
      </c>
      <c r="BI111" s="307">
        <f t="shared" si="164"/>
        <v>-0.03</v>
      </c>
    </row>
    <row r="112" spans="1:62">
      <c r="A112" s="180"/>
      <c r="C112" s="74"/>
      <c r="G112" s="75"/>
      <c r="I112" s="74"/>
      <c r="M112" s="75"/>
      <c r="O112" s="74"/>
      <c r="S112" s="75"/>
      <c r="U112" s="74"/>
      <c r="Y112" s="75"/>
      <c r="AA112" s="74"/>
      <c r="AE112" s="75"/>
      <c r="AG112" s="74"/>
      <c r="AH112" s="224"/>
      <c r="AK112" s="75"/>
      <c r="AM112" s="74"/>
      <c r="AQ112" s="75"/>
      <c r="AS112" s="74"/>
      <c r="AW112" s="75"/>
      <c r="AY112" s="74"/>
      <c r="BC112" s="75"/>
      <c r="BE112" s="74"/>
      <c r="BI112" s="75"/>
    </row>
    <row r="113" spans="1:61">
      <c r="A113" s="180" t="s">
        <v>136</v>
      </c>
      <c r="C113" s="267">
        <f>C56</f>
        <v>12413</v>
      </c>
      <c r="D113" s="268">
        <f>D56</f>
        <v>13971</v>
      </c>
      <c r="E113" s="268">
        <f>E56</f>
        <v>14620</v>
      </c>
      <c r="F113" s="268">
        <f>F56</f>
        <v>15565</v>
      </c>
      <c r="G113" s="269">
        <f>G56</f>
        <v>15565</v>
      </c>
      <c r="I113" s="267">
        <f>I56</f>
        <v>17045</v>
      </c>
      <c r="J113" s="268">
        <f>J56</f>
        <v>12650</v>
      </c>
      <c r="K113" s="268">
        <f>K56</f>
        <v>14370</v>
      </c>
      <c r="L113" s="268">
        <f>L56</f>
        <v>13875</v>
      </c>
      <c r="M113" s="269">
        <f>M56</f>
        <v>13875</v>
      </c>
      <c r="O113" s="267">
        <f>O56</f>
        <v>22518</v>
      </c>
      <c r="P113" s="268">
        <f>P56</f>
        <v>23974</v>
      </c>
      <c r="Q113" s="268">
        <f>Q56</f>
        <v>29527</v>
      </c>
      <c r="R113" s="268">
        <f>R56</f>
        <v>27335</v>
      </c>
      <c r="S113" s="269">
        <f>S56</f>
        <v>27335</v>
      </c>
      <c r="U113" s="267">
        <f>U56</f>
        <v>14134</v>
      </c>
      <c r="V113" s="268">
        <f>V56</f>
        <v>11316</v>
      </c>
      <c r="W113" s="268">
        <f>W56</f>
        <v>3819</v>
      </c>
      <c r="X113" s="268">
        <f>X56</f>
        <v>3660</v>
      </c>
      <c r="Y113" s="269">
        <f>Y56</f>
        <v>3660</v>
      </c>
      <c r="AA113" s="267">
        <f>AA56</f>
        <v>2914</v>
      </c>
      <c r="AB113" s="268">
        <f>AB56</f>
        <v>2885</v>
      </c>
      <c r="AC113" s="268">
        <f>AC56</f>
        <v>3837</v>
      </c>
      <c r="AD113" s="268">
        <f>AD56</f>
        <v>6355</v>
      </c>
      <c r="AE113" s="269">
        <f>AE56</f>
        <v>6355</v>
      </c>
      <c r="AG113" s="267">
        <f>AG56</f>
        <v>4430</v>
      </c>
      <c r="AH113" s="225">
        <f>AH56</f>
        <v>4314</v>
      </c>
      <c r="AI113" s="319">
        <f>AI9*AI118</f>
        <v>4159.665032400213</v>
      </c>
      <c r="AJ113" s="319">
        <f>AJ9*AJ118</f>
        <v>3249.8537180346843</v>
      </c>
      <c r="AK113" s="320">
        <f>AK9*AK118</f>
        <v>3833.1518728725096</v>
      </c>
      <c r="AM113" s="333">
        <f>AM9*AM118</f>
        <v>2800.4432928297065</v>
      </c>
      <c r="AN113" s="319">
        <f>AN9*AN118</f>
        <v>3398.5469091765453</v>
      </c>
      <c r="AO113" s="319">
        <f>AO9*AO118</f>
        <v>4115.6493806080261</v>
      </c>
      <c r="AP113" s="319">
        <f>AP9*AP118</f>
        <v>2973.1667349976956</v>
      </c>
      <c r="AQ113" s="320">
        <f>AQ9*AQ118</f>
        <v>3635.9822174969668</v>
      </c>
      <c r="AS113" s="333">
        <f>AS9*AS118</f>
        <v>3146.5836457820651</v>
      </c>
      <c r="AT113" s="319">
        <f>AT9*AT118</f>
        <v>3699.4535777303595</v>
      </c>
      <c r="AU113" s="319">
        <f>AU9*AU118</f>
        <v>4712.2705628142867</v>
      </c>
      <c r="AV113" s="319">
        <f>AV9*AV118</f>
        <v>3183.0977497258596</v>
      </c>
      <c r="AW113" s="320">
        <f>AW9*AW118</f>
        <v>4033.7349227431509</v>
      </c>
      <c r="AY113" s="333">
        <f>AY9*AY118</f>
        <v>3351.4612741592969</v>
      </c>
      <c r="AZ113" s="319">
        <f>AZ9*AZ118</f>
        <v>4864.0279288239535</v>
      </c>
      <c r="BA113" s="319">
        <f>BA9*BA118</f>
        <v>6070.2452515843779</v>
      </c>
      <c r="BB113" s="319">
        <f>BB9*BB118</f>
        <v>4204.4886908466415</v>
      </c>
      <c r="BC113" s="320">
        <f>BC9*BC118</f>
        <v>5059.5351066465137</v>
      </c>
      <c r="BE113" s="333">
        <f>BE9*BE118</f>
        <v>3573.0816189390835</v>
      </c>
      <c r="BF113" s="319">
        <f>BF9*BF118</f>
        <v>5579.4270642990668</v>
      </c>
      <c r="BG113" s="319">
        <f>BG9*BG118</f>
        <v>6598.369342391833</v>
      </c>
      <c r="BH113" s="319">
        <f>BH9*BH118</f>
        <v>4505.0569129060841</v>
      </c>
      <c r="BI113" s="320">
        <f>BI9*BI118</f>
        <v>5542.6921099591063</v>
      </c>
    </row>
    <row r="114" spans="1:61">
      <c r="A114" s="180" t="s">
        <v>137</v>
      </c>
      <c r="C114" s="267">
        <f>C59</f>
        <v>1928410</v>
      </c>
      <c r="D114" s="268">
        <f>D59</f>
        <v>1954243</v>
      </c>
      <c r="E114" s="268">
        <f>E59</f>
        <v>1826962</v>
      </c>
      <c r="F114" s="268">
        <f>F59</f>
        <v>1545729</v>
      </c>
      <c r="G114" s="269">
        <f>G59</f>
        <v>1545729</v>
      </c>
      <c r="I114" s="267">
        <f>I59</f>
        <v>1562085</v>
      </c>
      <c r="J114" s="268">
        <f>J59</f>
        <v>1420462</v>
      </c>
      <c r="K114" s="268">
        <f>K59</f>
        <v>1350467</v>
      </c>
      <c r="L114" s="268">
        <f>L59</f>
        <v>1277398</v>
      </c>
      <c r="M114" s="269">
        <f>M59</f>
        <v>1277398</v>
      </c>
      <c r="O114" s="267">
        <f>O59</f>
        <v>1545211</v>
      </c>
      <c r="P114" s="268">
        <f>P59</f>
        <v>1577884</v>
      </c>
      <c r="Q114" s="268">
        <f>Q59</f>
        <v>1574146</v>
      </c>
      <c r="R114" s="268">
        <f>R59</f>
        <v>1596905</v>
      </c>
      <c r="S114" s="269">
        <f>S59</f>
        <v>1596905</v>
      </c>
      <c r="U114" s="267">
        <f>U59</f>
        <v>1658109</v>
      </c>
      <c r="V114" s="268">
        <f>V59</f>
        <v>2043817</v>
      </c>
      <c r="W114" s="268">
        <f>W59</f>
        <v>2419664</v>
      </c>
      <c r="X114" s="268">
        <f>X59</f>
        <v>2926122</v>
      </c>
      <c r="Y114" s="269">
        <f>Y59</f>
        <v>2926122</v>
      </c>
      <c r="AA114" s="267">
        <f>AA59</f>
        <v>3391629</v>
      </c>
      <c r="AB114" s="268">
        <f>AB59</f>
        <v>3552362</v>
      </c>
      <c r="AC114" s="268">
        <f>AC59</f>
        <v>3169429</v>
      </c>
      <c r="AD114" s="268">
        <f>AD59</f>
        <v>2977842</v>
      </c>
      <c r="AE114" s="269">
        <f>AE59</f>
        <v>2977842</v>
      </c>
      <c r="AG114" s="267">
        <f>AG59</f>
        <v>3194428</v>
      </c>
      <c r="AH114" s="225">
        <f>AH59</f>
        <v>3670400</v>
      </c>
      <c r="AI114" s="319">
        <f t="shared" ref="AI114:BI114" si="165">AH114-AI113</f>
        <v>3666240.3349675997</v>
      </c>
      <c r="AJ114" s="319">
        <f t="shared" si="165"/>
        <v>3662990.4812495653</v>
      </c>
      <c r="AK114" s="320">
        <f t="shared" si="165"/>
        <v>3659157.3293766929</v>
      </c>
      <c r="AM114" s="333">
        <f>AK114-AM113</f>
        <v>3656356.8860838632</v>
      </c>
      <c r="AN114" s="319">
        <f t="shared" si="165"/>
        <v>3652958.3391746865</v>
      </c>
      <c r="AO114" s="319">
        <f t="shared" si="165"/>
        <v>3648842.6897940785</v>
      </c>
      <c r="AP114" s="319">
        <f t="shared" si="165"/>
        <v>3645869.5230590808</v>
      </c>
      <c r="AQ114" s="320">
        <f t="shared" si="165"/>
        <v>3642233.5408415836</v>
      </c>
      <c r="AS114" s="333">
        <f>AQ114-AS113</f>
        <v>3639086.9571958017</v>
      </c>
      <c r="AT114" s="319">
        <f t="shared" si="165"/>
        <v>3635387.5036180713</v>
      </c>
      <c r="AU114" s="319">
        <f t="shared" si="165"/>
        <v>3630675.2330552572</v>
      </c>
      <c r="AV114" s="319">
        <f t="shared" si="165"/>
        <v>3627492.1353055313</v>
      </c>
      <c r="AW114" s="320">
        <f t="shared" si="165"/>
        <v>3623458.4003827884</v>
      </c>
      <c r="AY114" s="333">
        <f>AW114-AY113</f>
        <v>3620106.9391086292</v>
      </c>
      <c r="AZ114" s="319">
        <f t="shared" si="165"/>
        <v>3615242.9111798052</v>
      </c>
      <c r="BA114" s="319">
        <f t="shared" si="165"/>
        <v>3609172.6659282208</v>
      </c>
      <c r="BB114" s="319">
        <f t="shared" si="165"/>
        <v>3604968.1772373742</v>
      </c>
      <c r="BC114" s="320">
        <f t="shared" si="165"/>
        <v>3599908.6421307279</v>
      </c>
      <c r="BE114" s="333">
        <f>BC114-BE113</f>
        <v>3596335.5605117888</v>
      </c>
      <c r="BF114" s="319">
        <f t="shared" si="165"/>
        <v>3590756.1334474897</v>
      </c>
      <c r="BG114" s="319">
        <f t="shared" si="165"/>
        <v>3584157.7641050979</v>
      </c>
      <c r="BH114" s="319">
        <f t="shared" si="165"/>
        <v>3579652.7071921919</v>
      </c>
      <c r="BI114" s="320">
        <f t="shared" si="165"/>
        <v>3574110.0150822327</v>
      </c>
    </row>
    <row r="115" spans="1:61">
      <c r="A115" s="180" t="s">
        <v>138</v>
      </c>
      <c r="C115" s="267">
        <f>C13</f>
        <v>26742</v>
      </c>
      <c r="D115" s="268">
        <f>D13</f>
        <v>28957</v>
      </c>
      <c r="E115" s="268">
        <f>E13</f>
        <v>29106</v>
      </c>
      <c r="F115" s="268">
        <f>F13</f>
        <v>23408</v>
      </c>
      <c r="G115" s="269">
        <f>G13</f>
        <v>108213</v>
      </c>
      <c r="I115" s="267">
        <f>I13</f>
        <v>24901</v>
      </c>
      <c r="J115" s="268">
        <f>J13</f>
        <v>29382</v>
      </c>
      <c r="K115" s="268">
        <f>K13</f>
        <v>27788</v>
      </c>
      <c r="L115" s="268">
        <f>L13</f>
        <v>27480</v>
      </c>
      <c r="M115" s="269">
        <f>M13</f>
        <v>109551</v>
      </c>
      <c r="O115" s="267">
        <f>O13</f>
        <v>51931</v>
      </c>
      <c r="P115" s="268">
        <f>P13</f>
        <v>26812</v>
      </c>
      <c r="Q115" s="268">
        <f>Q13</f>
        <v>28043</v>
      </c>
      <c r="R115" s="268">
        <f>R13</f>
        <v>28902</v>
      </c>
      <c r="S115" s="269">
        <f>S13</f>
        <v>135688</v>
      </c>
      <c r="U115" s="267">
        <f>U13</f>
        <v>31844</v>
      </c>
      <c r="V115" s="268">
        <f>V13</f>
        <v>27795</v>
      </c>
      <c r="W115" s="268">
        <f>W13</f>
        <v>35954</v>
      </c>
      <c r="X115" s="268">
        <f>X13</f>
        <v>40284</v>
      </c>
      <c r="Y115" s="269">
        <f>Y13</f>
        <v>135877</v>
      </c>
      <c r="AA115" s="267">
        <f>AA13</f>
        <v>41314</v>
      </c>
      <c r="AB115" s="268">
        <f>AB13</f>
        <v>70715</v>
      </c>
      <c r="AC115" s="268">
        <f>AC13</f>
        <v>44111</v>
      </c>
      <c r="AD115" s="268">
        <f>AD13</f>
        <v>42233</v>
      </c>
      <c r="AE115" s="269">
        <f>AE13</f>
        <v>198373</v>
      </c>
      <c r="AG115" s="267">
        <f>AG13</f>
        <v>42108</v>
      </c>
      <c r="AH115" s="225">
        <f>AH13</f>
        <v>53016</v>
      </c>
      <c r="AI115" s="268">
        <f>AI13</f>
        <v>48076.862500000003</v>
      </c>
      <c r="AJ115" s="268">
        <f>AJ13</f>
        <v>48148.637499999997</v>
      </c>
      <c r="AK115" s="269">
        <f>AK13</f>
        <v>191349.5</v>
      </c>
      <c r="AM115" s="267">
        <f>AM13</f>
        <v>47861.537499999999</v>
      </c>
      <c r="AN115" s="268">
        <f>AN13</f>
        <v>47263.412500000006</v>
      </c>
      <c r="AO115" s="268">
        <f>AO13</f>
        <v>46043.237500000003</v>
      </c>
      <c r="AP115" s="268">
        <f>AP13</f>
        <v>46043.237500000003</v>
      </c>
      <c r="AQ115" s="269">
        <f>AQ13</f>
        <v>187211.42499999999</v>
      </c>
      <c r="AS115" s="267">
        <f>AS13</f>
        <v>44703.4375</v>
      </c>
      <c r="AT115" s="268">
        <f>AT13</f>
        <v>44655.587500000001</v>
      </c>
      <c r="AU115" s="268">
        <f>AU13</f>
        <v>44009.612500000003</v>
      </c>
      <c r="AV115" s="268">
        <f>AV13</f>
        <v>43985.6875</v>
      </c>
      <c r="AW115" s="269">
        <f>AW13</f>
        <v>177354.32500000001</v>
      </c>
      <c r="AY115" s="267">
        <f>AY13</f>
        <v>43985.6875</v>
      </c>
      <c r="AZ115" s="268">
        <f>AZ13</f>
        <v>43985.6875</v>
      </c>
      <c r="BA115" s="268">
        <f>BA13</f>
        <v>43722.512499999997</v>
      </c>
      <c r="BB115" s="268">
        <f>BB13</f>
        <v>43722.512499999997</v>
      </c>
      <c r="BC115" s="269">
        <f>BC13</f>
        <v>175416.40000000002</v>
      </c>
      <c r="BE115" s="267">
        <f>BE13</f>
        <v>43722.512499999997</v>
      </c>
      <c r="BF115" s="268">
        <f>BF13</f>
        <v>43722.512499999997</v>
      </c>
      <c r="BG115" s="268">
        <f>BG13</f>
        <v>43746.4375</v>
      </c>
      <c r="BH115" s="268">
        <f>BH13</f>
        <v>43746.4375</v>
      </c>
      <c r="BI115" s="269">
        <f>BI13</f>
        <v>174937.9</v>
      </c>
    </row>
    <row r="116" spans="1:61">
      <c r="A116" s="180" t="s">
        <v>139</v>
      </c>
      <c r="C116" s="287">
        <f t="shared" ref="C116:AN116" si="166">C115/C114</f>
        <v>1.3867382973537784E-2</v>
      </c>
      <c r="D116" s="288">
        <f t="shared" si="166"/>
        <v>1.4817502224646577E-2</v>
      </c>
      <c r="E116" s="288">
        <f t="shared" si="166"/>
        <v>1.5931365841216183E-2</v>
      </c>
      <c r="F116" s="288">
        <f t="shared" si="166"/>
        <v>1.5143663604681027E-2</v>
      </c>
      <c r="G116" s="79">
        <f t="shared" si="166"/>
        <v>7.0007743918888754E-2</v>
      </c>
      <c r="I116" s="287">
        <f t="shared" si="166"/>
        <v>1.5940873896106805E-2</v>
      </c>
      <c r="J116" s="288">
        <f t="shared" si="166"/>
        <v>2.0684819446067548E-2</v>
      </c>
      <c r="K116" s="288">
        <f t="shared" si="166"/>
        <v>2.0576585729232925E-2</v>
      </c>
      <c r="L116" s="288">
        <f t="shared" si="166"/>
        <v>2.1512480839957476E-2</v>
      </c>
      <c r="M116" s="79">
        <f t="shared" si="166"/>
        <v>8.5761054894402527E-2</v>
      </c>
      <c r="O116" s="287">
        <f t="shared" si="166"/>
        <v>3.3607707944093075E-2</v>
      </c>
      <c r="P116" s="288">
        <f t="shared" si="166"/>
        <v>1.6992377132919782E-2</v>
      </c>
      <c r="Q116" s="288">
        <f t="shared" si="166"/>
        <v>1.7814738912400756E-2</v>
      </c>
      <c r="R116" s="288">
        <f t="shared" si="166"/>
        <v>1.8098759788465812E-2</v>
      </c>
      <c r="S116" s="79">
        <f t="shared" si="166"/>
        <v>8.4969362610800264E-2</v>
      </c>
      <c r="U116" s="287">
        <f t="shared" si="166"/>
        <v>1.9205010044574873E-2</v>
      </c>
      <c r="V116" s="288">
        <f t="shared" si="166"/>
        <v>1.3599554167520869E-2</v>
      </c>
      <c r="W116" s="288">
        <f t="shared" si="166"/>
        <v>1.4859087873357624E-2</v>
      </c>
      <c r="X116" s="288">
        <f t="shared" si="166"/>
        <v>1.3767026802026711E-2</v>
      </c>
      <c r="Y116" s="79">
        <f t="shared" si="166"/>
        <v>4.6435862892934741E-2</v>
      </c>
      <c r="AA116" s="287">
        <f t="shared" si="166"/>
        <v>1.2181167220825155E-2</v>
      </c>
      <c r="AB116" s="288">
        <f t="shared" si="166"/>
        <v>1.9906473495662887E-2</v>
      </c>
      <c r="AC116" s="288">
        <f t="shared" si="166"/>
        <v>1.3917648888806155E-2</v>
      </c>
      <c r="AD116" s="288">
        <f t="shared" si="166"/>
        <v>1.4182418006059421E-2</v>
      </c>
      <c r="AE116" s="79">
        <f t="shared" si="166"/>
        <v>6.6616361781451125E-2</v>
      </c>
      <c r="AG116" s="287">
        <f t="shared" si="166"/>
        <v>1.3181702639721415E-2</v>
      </c>
      <c r="AH116" s="223">
        <f t="shared" si="166"/>
        <v>1.4444202266782911E-2</v>
      </c>
      <c r="AI116" s="258">
        <f t="shared" si="166"/>
        <v>1.3113396315417735E-2</v>
      </c>
      <c r="AJ116" s="258">
        <f t="shared" si="166"/>
        <v>1.3144625339996769E-2</v>
      </c>
      <c r="AK116" s="259">
        <f t="shared" si="166"/>
        <v>5.2293324056824526E-2</v>
      </c>
      <c r="AM116" s="257">
        <f t="shared" si="166"/>
        <v>1.3089952373675984E-2</v>
      </c>
      <c r="AN116" s="258">
        <f t="shared" si="166"/>
        <v>1.2938393518793383E-2</v>
      </c>
      <c r="AO116" s="258">
        <f t="shared" ref="AO116:BI116" si="167">AO115/AO114</f>
        <v>1.2618586607963207E-2</v>
      </c>
      <c r="AP116" s="258">
        <f t="shared" si="167"/>
        <v>1.2628876927380343E-2</v>
      </c>
      <c r="AQ116" s="259">
        <f t="shared" si="167"/>
        <v>5.1400170499979102E-2</v>
      </c>
      <c r="AS116" s="257">
        <f t="shared" si="167"/>
        <v>1.2284245478554725E-2</v>
      </c>
      <c r="AT116" s="258">
        <f t="shared" si="167"/>
        <v>1.2283583924838032E-2</v>
      </c>
      <c r="AU116" s="258">
        <f t="shared" si="167"/>
        <v>1.2121605397066975E-2</v>
      </c>
      <c r="AV116" s="258">
        <f t="shared" si="167"/>
        <v>1.2125646551207542E-2</v>
      </c>
      <c r="AW116" s="259">
        <f t="shared" si="167"/>
        <v>4.8946146306319951E-2</v>
      </c>
      <c r="AY116" s="257">
        <f t="shared" si="167"/>
        <v>1.2150383466525576E-2</v>
      </c>
      <c r="AZ116" s="258">
        <f t="shared" si="167"/>
        <v>1.2166730861701801E-2</v>
      </c>
      <c r="BA116" s="258">
        <f t="shared" si="167"/>
        <v>1.2114275637947423E-2</v>
      </c>
      <c r="BB116" s="258">
        <f t="shared" si="167"/>
        <v>1.2128404565697509E-2</v>
      </c>
      <c r="BC116" s="259">
        <f t="shared" si="167"/>
        <v>4.8728014357657112E-2</v>
      </c>
      <c r="BE116" s="257">
        <f t="shared" si="167"/>
        <v>1.2157517496442383E-2</v>
      </c>
      <c r="BF116" s="258">
        <f t="shared" si="167"/>
        <v>1.2176408220187862E-2</v>
      </c>
      <c r="BG116" s="258">
        <f t="shared" si="167"/>
        <v>1.2205499974949548E-2</v>
      </c>
      <c r="BH116" s="258">
        <f t="shared" si="167"/>
        <v>1.2220860814822964E-2</v>
      </c>
      <c r="BI116" s="259">
        <f t="shared" si="167"/>
        <v>4.8945863239180411E-2</v>
      </c>
    </row>
    <row r="117" spans="1:61">
      <c r="A117" s="180"/>
      <c r="C117" s="74"/>
      <c r="G117" s="75"/>
      <c r="I117" s="74"/>
      <c r="M117" s="75"/>
      <c r="O117" s="74"/>
      <c r="S117" s="75"/>
      <c r="U117" s="74"/>
      <c r="Y117" s="75"/>
      <c r="AA117" s="74"/>
      <c r="AE117" s="75"/>
      <c r="AG117" s="74"/>
      <c r="AH117" s="224"/>
      <c r="AK117" s="75"/>
      <c r="AM117" s="74"/>
      <c r="AQ117" s="75"/>
      <c r="AS117" s="74"/>
      <c r="AW117" s="75"/>
      <c r="AY117" s="74"/>
      <c r="BC117" s="75"/>
      <c r="BE117" s="74"/>
      <c r="BI117" s="75"/>
    </row>
    <row r="118" spans="1:61" ht="17.25" thickBot="1">
      <c r="A118" s="231" t="s">
        <v>140</v>
      </c>
      <c r="C118" s="289"/>
      <c r="D118" s="290"/>
      <c r="E118" s="290"/>
      <c r="F118" s="290"/>
      <c r="G118" s="82">
        <f>G56/G9</f>
        <v>3.3338759493996242E-2</v>
      </c>
      <c r="I118" s="289"/>
      <c r="J118" s="290"/>
      <c r="K118" s="290"/>
      <c r="L118" s="290"/>
      <c r="M118" s="82">
        <f>M56/M9</f>
        <v>2.8181515363241962E-2</v>
      </c>
      <c r="O118" s="289"/>
      <c r="P118" s="290"/>
      <c r="Q118" s="290"/>
      <c r="R118" s="290"/>
      <c r="S118" s="82">
        <f>S56/S9</f>
        <v>4.1390327367432846E-2</v>
      </c>
      <c r="U118" s="289"/>
      <c r="V118" s="290"/>
      <c r="W118" s="290"/>
      <c r="X118" s="290"/>
      <c r="Y118" s="82">
        <f>Y56/Y9</f>
        <v>1.2471139194269001E-3</v>
      </c>
      <c r="AA118" s="289"/>
      <c r="AB118" s="290"/>
      <c r="AC118" s="290"/>
      <c r="AD118" s="290"/>
      <c r="AE118" s="82">
        <f>AE56/AE9</f>
        <v>1.4892160138877887E-3</v>
      </c>
      <c r="AG118" s="321"/>
      <c r="AH118" s="322">
        <f>AH56/AH9</f>
        <v>6.0248199117923906E-3</v>
      </c>
      <c r="AI118" s="323">
        <v>5.0000000000000001E-3</v>
      </c>
      <c r="AJ118" s="323">
        <v>5.0000000000000001E-3</v>
      </c>
      <c r="AK118" s="324">
        <f>AVERAGE($AE$118,$Y$118,D118)</f>
        <v>1.3681649666573443E-3</v>
      </c>
      <c r="AM118" s="334">
        <v>5.0000000000000001E-3</v>
      </c>
      <c r="AN118" s="323">
        <v>5.0000000000000001E-3</v>
      </c>
      <c r="AO118" s="323">
        <v>5.0000000000000001E-3</v>
      </c>
      <c r="AP118" s="323">
        <v>5.0000000000000001E-3</v>
      </c>
      <c r="AQ118" s="324">
        <f>AVERAGE($AE$118,$Y$118,J118)</f>
        <v>1.3681649666573443E-3</v>
      </c>
      <c r="AS118" s="334">
        <v>5.0000000000000001E-3</v>
      </c>
      <c r="AT118" s="323">
        <v>5.0000000000000001E-3</v>
      </c>
      <c r="AU118" s="323">
        <v>5.0000000000000001E-3</v>
      </c>
      <c r="AV118" s="323">
        <v>5.0000000000000001E-3</v>
      </c>
      <c r="AW118" s="324">
        <f>AVERAGE($AE$118,$Y$118,P118)</f>
        <v>1.3681649666573443E-3</v>
      </c>
      <c r="AY118" s="334">
        <v>5.0000000000000001E-3</v>
      </c>
      <c r="AZ118" s="323">
        <v>5.0000000000000001E-3</v>
      </c>
      <c r="BA118" s="323">
        <v>5.0000000000000001E-3</v>
      </c>
      <c r="BB118" s="323">
        <v>5.0000000000000001E-3</v>
      </c>
      <c r="BC118" s="324">
        <f>AVERAGE($AE$118,$Y$118,V118)</f>
        <v>1.3681649666573443E-3</v>
      </c>
      <c r="BE118" s="334">
        <v>5.0000000000000001E-3</v>
      </c>
      <c r="BF118" s="323">
        <v>5.0000000000000001E-3</v>
      </c>
      <c r="BG118" s="323">
        <v>5.0000000000000001E-3</v>
      </c>
      <c r="BH118" s="323">
        <v>5.0000000000000001E-3</v>
      </c>
      <c r="BI118" s="324">
        <f>AVERAGE($AE$118,$Y$118,AB118)</f>
        <v>1.3681649666573443E-3</v>
      </c>
    </row>
    <row r="125" spans="1:61">
      <c r="D125" s="268"/>
    </row>
  </sheetData>
  <mergeCells count="10">
    <mergeCell ref="AM1:AQ1"/>
    <mergeCell ref="AS1:AW1"/>
    <mergeCell ref="AY1:BC1"/>
    <mergeCell ref="BE1:BI1"/>
    <mergeCell ref="C1:G1"/>
    <mergeCell ref="I1:M1"/>
    <mergeCell ref="O1:S1"/>
    <mergeCell ref="U1:Y1"/>
    <mergeCell ref="AA1:AE1"/>
    <mergeCell ref="AG1:AK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274DA-FC4A-460D-904C-EE2D236D2F94}">
  <sheetPr>
    <tabColor rgb="FF002060"/>
  </sheetPr>
  <dimension ref="B1:N39"/>
  <sheetViews>
    <sheetView showGridLines="0" workbookViewId="0">
      <pane ySplit="2" topLeftCell="A3" activePane="bottomLeft" state="frozen"/>
      <selection pane="bottomLeft"/>
    </sheetView>
  </sheetViews>
  <sheetFormatPr defaultColWidth="9.140625" defaultRowHeight="16.5"/>
  <cols>
    <col min="1" max="1" width="1.7109375" style="18" customWidth="1"/>
    <col min="2" max="2" width="36.85546875" style="18" bestFit="1" customWidth="1"/>
    <col min="3" max="3" width="8.140625" style="18" customWidth="1"/>
    <col min="4" max="4" width="16" style="18" customWidth="1"/>
    <col min="5" max="6" width="10.42578125" style="18" bestFit="1" customWidth="1"/>
    <col min="7" max="7" width="11.7109375" style="18" customWidth="1"/>
    <col min="8" max="9" width="11.42578125" style="18" bestFit="1" customWidth="1"/>
    <col min="10" max="10" width="11.42578125" style="18" customWidth="1"/>
    <col min="11" max="11" width="11.42578125" style="18" bestFit="1" customWidth="1"/>
    <col min="12" max="12" width="11.42578125" style="18" customWidth="1"/>
    <col min="13" max="13" width="11.42578125" style="18" bestFit="1" customWidth="1"/>
    <col min="14" max="14" width="12.7109375" style="18" bestFit="1" customWidth="1"/>
    <col min="15" max="16384" width="9.140625" style="18"/>
  </cols>
  <sheetData>
    <row r="1" spans="2:14" ht="9.9499999999999993" customHeight="1" thickBot="1"/>
    <row r="2" spans="2:14" ht="17.25" thickBot="1">
      <c r="B2" s="335" t="s">
        <v>227</v>
      </c>
      <c r="C2" s="198"/>
      <c r="D2" s="198"/>
      <c r="E2" s="198"/>
      <c r="F2" s="198"/>
      <c r="G2" s="198"/>
      <c r="H2" s="198"/>
      <c r="I2" s="198"/>
      <c r="J2" s="198"/>
      <c r="K2" s="198"/>
      <c r="L2" s="198"/>
      <c r="M2" s="198"/>
      <c r="N2" s="199"/>
    </row>
    <row r="3" spans="2:14" ht="17.25" thickBot="1">
      <c r="B3" s="195" t="s">
        <v>228</v>
      </c>
      <c r="C3" s="196"/>
      <c r="D3" s="196"/>
      <c r="E3" s="196"/>
      <c r="F3" s="196"/>
      <c r="G3" s="196"/>
      <c r="H3" s="196"/>
      <c r="I3" s="196"/>
      <c r="J3" s="196"/>
      <c r="K3" s="196"/>
      <c r="L3" s="196"/>
      <c r="M3" s="196"/>
      <c r="N3" s="197"/>
    </row>
    <row r="4" spans="2:14">
      <c r="B4" s="148"/>
      <c r="C4" s="148"/>
      <c r="D4" s="148"/>
      <c r="E4" s="148"/>
      <c r="F4" s="148"/>
      <c r="G4" s="148"/>
      <c r="H4" s="148"/>
      <c r="I4" s="148"/>
      <c r="J4" s="148"/>
      <c r="K4" s="148"/>
      <c r="L4" s="148"/>
      <c r="M4" s="21"/>
      <c r="N4" s="21"/>
    </row>
    <row r="5" spans="2:14">
      <c r="B5" s="21"/>
      <c r="C5" s="21"/>
      <c r="D5" s="149" t="s">
        <v>229</v>
      </c>
      <c r="E5" s="149" t="s">
        <v>230</v>
      </c>
      <c r="F5" s="149" t="s">
        <v>231</v>
      </c>
      <c r="G5" s="149" t="s">
        <v>232</v>
      </c>
      <c r="H5" s="149" t="s">
        <v>233</v>
      </c>
      <c r="I5" s="149" t="s">
        <v>234</v>
      </c>
      <c r="J5" s="149" t="s">
        <v>488</v>
      </c>
      <c r="K5" s="149" t="s">
        <v>235</v>
      </c>
      <c r="L5" s="149" t="s">
        <v>236</v>
      </c>
      <c r="M5" s="149" t="s">
        <v>237</v>
      </c>
      <c r="N5" s="149" t="s">
        <v>238</v>
      </c>
    </row>
    <row r="6" spans="2:14">
      <c r="B6" s="21" t="s">
        <v>239</v>
      </c>
      <c r="C6" s="21"/>
      <c r="D6" s="40">
        <f>'Operating Model'!D11</f>
        <v>104559</v>
      </c>
      <c r="E6" s="40">
        <f>'Operating Model'!I11</f>
        <v>71891</v>
      </c>
      <c r="F6" s="40">
        <f>'Operating Model'!S11</f>
        <v>543854</v>
      </c>
      <c r="G6" s="40">
        <f>'Operating Model'!Y11</f>
        <v>2387424</v>
      </c>
      <c r="H6" s="40">
        <f>'Operating Model'!AE11</f>
        <v>3770206</v>
      </c>
      <c r="I6" s="40">
        <f>'Operating Model'!AK11</f>
        <v>2250345.3113527959</v>
      </c>
      <c r="J6" s="40">
        <f>SUM('Operating Model'!AI11:AJ11)</f>
        <v>1206090.3113527959</v>
      </c>
      <c r="K6" s="40">
        <f>'Operating Model'!AQ11</f>
        <v>2054492.8757574796</v>
      </c>
      <c r="L6" s="40">
        <f>'Operating Model'!AW11</f>
        <v>2445299.3674540962</v>
      </c>
      <c r="M6" s="40">
        <f>'Operating Model'!BC11</f>
        <v>3121513.6468011606</v>
      </c>
      <c r="N6" s="186">
        <f>'Operating Model'!BI11</f>
        <v>3379406.277852681</v>
      </c>
    </row>
    <row r="7" spans="2:14">
      <c r="B7" s="21" t="s">
        <v>117</v>
      </c>
      <c r="C7" s="21"/>
      <c r="D7" s="150">
        <f>'Operating Model'!G31</f>
        <v>0.21308891488178558</v>
      </c>
      <c r="E7" s="150">
        <f>'Operating Model'!M31</f>
        <v>0.21554349171544271</v>
      </c>
      <c r="F7" s="150">
        <f>'Operating Model'!S31</f>
        <v>0.23183949667537226</v>
      </c>
      <c r="G7" s="150">
        <f>'Operating Model'!Y31</f>
        <v>0.2336753352250697</v>
      </c>
      <c r="H7" s="150">
        <f>'Operating Model'!AE31</f>
        <v>0.23026384492220101</v>
      </c>
      <c r="I7" s="150">
        <f>'Operating Model'!AK31</f>
        <v>0.22158475067375</v>
      </c>
      <c r="J7" s="150">
        <f>I7</f>
        <v>0.22158475067375</v>
      </c>
      <c r="K7" s="150">
        <f>I7</f>
        <v>0.22158475067375</v>
      </c>
      <c r="L7" s="150">
        <f>K7</f>
        <v>0.22158475067375</v>
      </c>
      <c r="M7" s="150">
        <f>L7</f>
        <v>0.22158475067375</v>
      </c>
      <c r="N7" s="187">
        <f>M7</f>
        <v>0.22158475067375</v>
      </c>
    </row>
    <row r="8" spans="2:14">
      <c r="B8" s="151" t="s">
        <v>240</v>
      </c>
      <c r="C8" s="152"/>
      <c r="D8" s="153">
        <f t="shared" ref="D8:N8" si="0">D6*(1-D7)</f>
        <v>82278.636148875376</v>
      </c>
      <c r="E8" s="153">
        <f t="shared" si="0"/>
        <v>56395.362837085107</v>
      </c>
      <c r="F8" s="153">
        <f t="shared" si="0"/>
        <v>417767.16237511206</v>
      </c>
      <c r="G8" s="153">
        <f t="shared" si="0"/>
        <v>1829541.8964756234</v>
      </c>
      <c r="H8" s="153">
        <f t="shared" si="0"/>
        <v>2902063.8702912484</v>
      </c>
      <c r="I8" s="153">
        <f t="shared" si="0"/>
        <v>1751703.1066068441</v>
      </c>
      <c r="J8" s="153">
        <f t="shared" si="0"/>
        <v>938839.09042166104</v>
      </c>
      <c r="K8" s="153">
        <f>K6*(1-K7)</f>
        <v>1599248.5841217628</v>
      </c>
      <c r="L8" s="153">
        <f t="shared" si="0"/>
        <v>1903458.3167941016</v>
      </c>
      <c r="M8" s="153">
        <f t="shared" si="0"/>
        <v>2429833.8236500174</v>
      </c>
      <c r="N8" s="188">
        <f t="shared" si="0"/>
        <v>2630581.3803493888</v>
      </c>
    </row>
    <row r="9" spans="2:14">
      <c r="B9" s="21" t="s">
        <v>241</v>
      </c>
      <c r="C9" s="21"/>
      <c r="D9" s="40">
        <f>'Operating Model'!G10</f>
        <v>97906</v>
      </c>
      <c r="E9" s="40">
        <f>'Operating Model'!M10</f>
        <v>100038</v>
      </c>
      <c r="F9" s="40">
        <f>'Operating Model'!S10</f>
        <v>116566</v>
      </c>
      <c r="G9" s="40">
        <f>'Operating Model'!Y10</f>
        <v>547352</v>
      </c>
      <c r="H9" s="40">
        <f>'Operating Model'!AE10</f>
        <v>497140</v>
      </c>
      <c r="I9" s="40">
        <f>'Operating Model'!AK10</f>
        <v>551328.43873418367</v>
      </c>
      <c r="J9" s="40">
        <f>SUM('Operating Model'!AI10:AJ10)</f>
        <v>275813.43873418367</v>
      </c>
      <c r="K9" s="40">
        <f>'Operating Model'!AQ10</f>
        <v>603068.38776491489</v>
      </c>
      <c r="L9" s="40">
        <f>'Operating Model'!AW10</f>
        <v>502981.73975641781</v>
      </c>
      <c r="M9" s="40">
        <f>'Operating Model'!BC10</f>
        <v>576530.98228169372</v>
      </c>
      <c r="N9" s="186">
        <f>'Operating Model'!BI10</f>
        <v>671780.70985453285</v>
      </c>
    </row>
    <row r="10" spans="2:14">
      <c r="B10" s="21" t="s">
        <v>242</v>
      </c>
      <c r="C10" s="21"/>
      <c r="D10" s="40"/>
      <c r="E10" s="40">
        <f>'Operating Model'!M104</f>
        <v>-88520</v>
      </c>
      <c r="F10" s="40">
        <f>'Operating Model'!S104</f>
        <v>324810</v>
      </c>
      <c r="G10" s="40">
        <f>'Operating Model'!Y104</f>
        <v>1177482</v>
      </c>
      <c r="H10" s="40">
        <f>'Operating Model'!AE104</f>
        <v>-170814</v>
      </c>
      <c r="I10" s="40">
        <f>'Operating Model'!AK104</f>
        <v>-338265.46278456971</v>
      </c>
      <c r="J10" s="40">
        <f>'Operating Model'!AJ104</f>
        <v>-338265.46278456971</v>
      </c>
      <c r="K10" s="40">
        <f>'Operating Model'!AQ104</f>
        <v>206766.43121680943</v>
      </c>
      <c r="L10" s="40">
        <f>'Operating Model'!AW104</f>
        <v>354190.09136968898</v>
      </c>
      <c r="M10" s="154">
        <f>'Operating Model'!BC104</f>
        <v>225102.93741555884</v>
      </c>
      <c r="N10" s="189">
        <f>'Operating Model'!BI104</f>
        <v>135813.9117835341</v>
      </c>
    </row>
    <row r="11" spans="2:14">
      <c r="B11" s="21" t="s">
        <v>243</v>
      </c>
      <c r="C11" s="21"/>
      <c r="D11" s="154">
        <f>'Operating Model'!G93</f>
        <v>-101411</v>
      </c>
      <c r="E11" s="154">
        <f>'Operating Model'!M93</f>
        <v>-112870</v>
      </c>
      <c r="F11" s="154">
        <f>'Operating Model'!S93</f>
        <v>-112082</v>
      </c>
      <c r="G11" s="154">
        <f>'Operating Model'!Y93</f>
        <v>-227891</v>
      </c>
      <c r="H11" s="154">
        <f>'Operating Model'!AE93</f>
        <v>-340152</v>
      </c>
      <c r="I11" s="154">
        <f>'Operating Model'!AK93</f>
        <v>-498296.10049999994</v>
      </c>
      <c r="J11" s="154">
        <f>SUM('Operating Model'!AI87:AJ87)</f>
        <v>-272382.30649999995</v>
      </c>
      <c r="K11" s="154">
        <f>'Operating Model'!AQ93</f>
        <v>-574048.80437999999</v>
      </c>
      <c r="L11" s="154">
        <f>'Operating Model'!AW93</f>
        <v>-643521.60485700006</v>
      </c>
      <c r="M11" s="154">
        <f>'Operating Model'!BC93</f>
        <v>-689411.68990555569</v>
      </c>
      <c r="N11" s="189">
        <f>'Operating Model'!BI93</f>
        <v>-747830.6185866429</v>
      </c>
    </row>
    <row r="12" spans="2:14">
      <c r="B12" s="151" t="s">
        <v>244</v>
      </c>
      <c r="C12" s="152"/>
      <c r="D12" s="153">
        <f t="shared" ref="D12:N12" si="1">D8+D9-D10+D11</f>
        <v>78773.636148875376</v>
      </c>
      <c r="E12" s="153">
        <f t="shared" si="1"/>
        <v>132083.36283708509</v>
      </c>
      <c r="F12" s="153">
        <f t="shared" si="1"/>
        <v>97441.162375112064</v>
      </c>
      <c r="G12" s="153">
        <f t="shared" si="1"/>
        <v>971520.89647562336</v>
      </c>
      <c r="H12" s="153">
        <f t="shared" si="1"/>
        <v>3229865.8702912484</v>
      </c>
      <c r="I12" s="153">
        <f t="shared" si="1"/>
        <v>2143000.9076255979</v>
      </c>
      <c r="J12" s="153">
        <f t="shared" si="1"/>
        <v>1280535.6854404146</v>
      </c>
      <c r="K12" s="153">
        <f>K8+K9-K10+K11</f>
        <v>1421501.7362898681</v>
      </c>
      <c r="L12" s="153">
        <f t="shared" si="1"/>
        <v>1408728.3603238305</v>
      </c>
      <c r="M12" s="153">
        <f t="shared" si="1"/>
        <v>2091850.1786105966</v>
      </c>
      <c r="N12" s="188">
        <f t="shared" si="1"/>
        <v>2418717.5598337445</v>
      </c>
    </row>
    <row r="13" spans="2:14">
      <c r="B13" s="148"/>
      <c r="C13" s="21"/>
      <c r="D13" s="155"/>
      <c r="E13" s="155"/>
      <c r="F13" s="155"/>
      <c r="G13" s="155"/>
      <c r="H13" s="155"/>
      <c r="I13" s="155"/>
      <c r="J13" s="155"/>
      <c r="K13" s="155"/>
      <c r="L13" s="155"/>
      <c r="M13" s="155"/>
      <c r="N13" s="181"/>
    </row>
    <row r="14" spans="2:14">
      <c r="B14" s="21" t="s">
        <v>245</v>
      </c>
      <c r="C14" s="21"/>
      <c r="D14" s="155"/>
      <c r="E14" s="155"/>
      <c r="F14" s="155"/>
      <c r="G14" s="156"/>
      <c r="H14" s="156"/>
      <c r="I14" s="156"/>
      <c r="J14" s="156">
        <v>0.5</v>
      </c>
      <c r="K14" s="156">
        <f>J14+1</f>
        <v>1.5</v>
      </c>
      <c r="L14" s="156">
        <f>K14+1</f>
        <v>2.5</v>
      </c>
      <c r="M14" s="156">
        <f>L14+1</f>
        <v>3.5</v>
      </c>
      <c r="N14" s="182">
        <f>M14+1</f>
        <v>4.5</v>
      </c>
    </row>
    <row r="15" spans="2:14">
      <c r="B15" s="152" t="s">
        <v>246</v>
      </c>
      <c r="C15" s="152"/>
      <c r="D15" s="153"/>
      <c r="E15" s="153"/>
      <c r="F15" s="153"/>
      <c r="G15" s="157"/>
      <c r="H15" s="157"/>
      <c r="I15" s="157"/>
      <c r="J15" s="157">
        <f>J12/(1+$N$19)^J14</f>
        <v>1220267.4848904416</v>
      </c>
      <c r="K15" s="157">
        <f>K12/(1+$N$19)^K14</f>
        <v>1230091.6066078148</v>
      </c>
      <c r="L15" s="157">
        <f>L12/(1+$N$19)^L14</f>
        <v>1106990.835818907</v>
      </c>
      <c r="M15" s="157">
        <f>M12/(1+$N$19)^M14</f>
        <v>1492705.2193388955</v>
      </c>
      <c r="N15" s="183">
        <f>N12/(1+$N$19)^N14</f>
        <v>1567311.5698282237</v>
      </c>
    </row>
    <row r="16" spans="2:14" ht="17.25" thickBot="1">
      <c r="B16" s="21"/>
      <c r="C16" s="21"/>
      <c r="D16" s="21"/>
      <c r="E16" s="21"/>
      <c r="F16" s="21"/>
      <c r="G16" s="21"/>
      <c r="H16" s="21"/>
      <c r="I16" s="21"/>
      <c r="J16" s="21"/>
      <c r="K16" s="21"/>
      <c r="L16" s="21"/>
      <c r="M16" s="21"/>
      <c r="N16" s="21"/>
    </row>
    <row r="17" spans="2:14" ht="17.25" thickBot="1">
      <c r="B17" s="195" t="s">
        <v>247</v>
      </c>
      <c r="C17" s="196"/>
      <c r="D17" s="196"/>
      <c r="E17" s="196"/>
      <c r="F17" s="196"/>
      <c r="G17" s="196"/>
      <c r="H17" s="196"/>
      <c r="I17" s="196"/>
      <c r="J17" s="196"/>
      <c r="K17" s="196"/>
      <c r="L17" s="196"/>
      <c r="M17" s="196"/>
      <c r="N17" s="197"/>
    </row>
    <row r="18" spans="2:14">
      <c r="B18" s="21"/>
      <c r="C18" s="21"/>
      <c r="D18" s="21"/>
      <c r="E18" s="21"/>
      <c r="F18" s="21"/>
      <c r="G18" s="21"/>
      <c r="H18" s="21"/>
      <c r="I18" s="21"/>
      <c r="J18" s="21"/>
      <c r="K18" s="21"/>
      <c r="L18" s="21"/>
      <c r="M18" s="21"/>
      <c r="N18" s="21"/>
    </row>
    <row r="19" spans="2:14">
      <c r="B19" s="151" t="s">
        <v>248</v>
      </c>
      <c r="C19" s="152"/>
      <c r="D19" s="152"/>
      <c r="E19" s="21"/>
      <c r="F19" s="21"/>
      <c r="G19" s="151" t="s">
        <v>123</v>
      </c>
      <c r="H19" s="152"/>
      <c r="I19" s="152"/>
      <c r="J19" s="21"/>
      <c r="K19" s="21"/>
      <c r="L19" s="151" t="s">
        <v>249</v>
      </c>
      <c r="M19" s="152"/>
      <c r="N19" s="158">
        <f>((I21*(1-I22)*I20))+(I23*I24)</f>
        <v>0.10121797804415072</v>
      </c>
    </row>
    <row r="20" spans="2:14">
      <c r="B20" s="21" t="s">
        <v>250</v>
      </c>
      <c r="C20" s="21"/>
      <c r="D20" s="159">
        <v>0.02</v>
      </c>
      <c r="E20" s="21"/>
      <c r="F20" s="21"/>
      <c r="G20" s="21" t="s">
        <v>251</v>
      </c>
      <c r="H20" s="21"/>
      <c r="I20" s="160">
        <f>1-I23</f>
        <v>0.1821662195645456</v>
      </c>
      <c r="J20" s="160"/>
      <c r="K20" s="21"/>
      <c r="L20" s="21"/>
      <c r="M20" s="21"/>
      <c r="N20" s="21"/>
    </row>
    <row r="21" spans="2:14">
      <c r="B21" s="21" t="s">
        <v>252</v>
      </c>
      <c r="C21" s="21"/>
      <c r="D21" s="40">
        <f>((N12*(1+D20))/(N19-D20))</f>
        <v>30376179.885804217</v>
      </c>
      <c r="E21" s="21"/>
      <c r="F21" s="21"/>
      <c r="G21" s="21" t="s">
        <v>253</v>
      </c>
      <c r="H21" s="21"/>
      <c r="I21" s="161">
        <f>'Operating Model'!AE13/'DCF Valuation'!N22</f>
        <v>5.3983248764393636E-2</v>
      </c>
      <c r="J21" s="161"/>
      <c r="K21" s="21"/>
      <c r="L21" s="21" t="s">
        <v>212</v>
      </c>
      <c r="M21" s="21"/>
      <c r="N21" s="40">
        <f>'Operating Model'!AH35</f>
        <v>89316</v>
      </c>
    </row>
    <row r="22" spans="2:14">
      <c r="B22" s="21" t="s">
        <v>254</v>
      </c>
      <c r="C22" s="21"/>
      <c r="D22" s="190">
        <f>D21/(1+N19)^N14</f>
        <v>19683545.930628136</v>
      </c>
      <c r="E22" s="21"/>
      <c r="F22" s="21"/>
      <c r="G22" s="21" t="s">
        <v>255</v>
      </c>
      <c r="H22" s="21"/>
      <c r="I22" s="159">
        <f>H7</f>
        <v>0.23026384492220101</v>
      </c>
      <c r="J22" s="159"/>
      <c r="K22" s="21"/>
      <c r="L22" s="21" t="s">
        <v>486</v>
      </c>
      <c r="M22" s="21"/>
      <c r="N22" s="40">
        <f>'Operating Model'!AH59+'Operating Model'!AH56</f>
        <v>3674714</v>
      </c>
    </row>
    <row r="23" spans="2:14">
      <c r="B23" s="21" t="s">
        <v>256</v>
      </c>
      <c r="C23" s="21"/>
      <c r="D23" s="40">
        <f>SUM(J15:N15)</f>
        <v>6617366.7164842831</v>
      </c>
      <c r="E23" s="21"/>
      <c r="F23" s="21"/>
      <c r="G23" s="21" t="s">
        <v>257</v>
      </c>
      <c r="H23" s="21"/>
      <c r="I23" s="160">
        <f>N27/N29</f>
        <v>0.8178337804354544</v>
      </c>
      <c r="J23" s="160"/>
      <c r="K23" s="21"/>
      <c r="L23" s="151" t="s">
        <v>487</v>
      </c>
      <c r="M23" s="152"/>
      <c r="N23" s="153">
        <f>N22-N21</f>
        <v>3585398</v>
      </c>
    </row>
    <row r="24" spans="2:14">
      <c r="B24" s="148" t="s">
        <v>258</v>
      </c>
      <c r="C24" s="148"/>
      <c r="D24" s="184">
        <f>D22+D23</f>
        <v>26300912.647112418</v>
      </c>
      <c r="E24" s="21"/>
      <c r="F24" s="21"/>
      <c r="G24" s="21" t="s">
        <v>259</v>
      </c>
      <c r="H24" s="21"/>
      <c r="I24" s="160">
        <f>I26+(I25*I27)</f>
        <v>0.11450792712173263</v>
      </c>
      <c r="J24" s="160"/>
      <c r="K24" s="21"/>
      <c r="L24" s="21"/>
      <c r="M24" s="21"/>
      <c r="N24" s="21"/>
    </row>
    <row r="25" spans="2:14">
      <c r="B25" s="147" t="s">
        <v>260</v>
      </c>
      <c r="C25" s="21"/>
      <c r="D25" s="40">
        <f>N23</f>
        <v>3585398</v>
      </c>
      <c r="E25" s="21"/>
      <c r="F25" s="21"/>
      <c r="G25" s="21" t="s">
        <v>261</v>
      </c>
      <c r="H25" s="21"/>
      <c r="I25" s="162">
        <f>Beta!L3</f>
        <v>1.5312872693718362</v>
      </c>
      <c r="J25" s="162"/>
      <c r="K25" s="21"/>
      <c r="L25" s="21" t="s">
        <v>262</v>
      </c>
      <c r="M25" s="21"/>
      <c r="N25" s="163">
        <f>'Tear Sheet'!H10</f>
        <v>125.69</v>
      </c>
    </row>
    <row r="26" spans="2:14">
      <c r="B26" s="151" t="s">
        <v>263</v>
      </c>
      <c r="C26" s="151"/>
      <c r="D26" s="185">
        <f>D24-D25</f>
        <v>22715514.647112418</v>
      </c>
      <c r="E26" s="21"/>
      <c r="F26" s="21"/>
      <c r="G26" s="21" t="s">
        <v>264</v>
      </c>
      <c r="H26" s="21"/>
      <c r="I26" s="164">
        <f>Summary!F15</f>
        <v>4.5600000000000002E-2</v>
      </c>
      <c r="J26" s="164"/>
      <c r="K26" s="21"/>
      <c r="L26" s="21" t="s">
        <v>265</v>
      </c>
      <c r="M26" s="21"/>
      <c r="N26" s="40">
        <f>'Operating Model'!AH23</f>
        <v>128066</v>
      </c>
    </row>
    <row r="27" spans="2:14" ht="17.25" thickBot="1">
      <c r="B27" s="147" t="s">
        <v>265</v>
      </c>
      <c r="C27" s="21"/>
      <c r="D27" s="40">
        <f>N26</f>
        <v>128066</v>
      </c>
      <c r="E27" s="21"/>
      <c r="F27" s="21"/>
      <c r="G27" s="21" t="s">
        <v>439</v>
      </c>
      <c r="H27" s="21"/>
      <c r="I27" s="164">
        <f>Summary!F16</f>
        <v>4.4999999999999998E-2</v>
      </c>
      <c r="J27" s="164"/>
      <c r="K27" s="21"/>
      <c r="L27" s="148" t="s">
        <v>266</v>
      </c>
      <c r="M27" s="21"/>
      <c r="N27" s="184">
        <f>N25*N26</f>
        <v>16096615.539999999</v>
      </c>
    </row>
    <row r="28" spans="2:14" ht="17.25" thickBot="1">
      <c r="B28" s="335" t="s">
        <v>267</v>
      </c>
      <c r="C28" s="145"/>
      <c r="D28" s="603">
        <f>D26/D27</f>
        <v>177.37349996964392</v>
      </c>
      <c r="E28" s="21"/>
      <c r="F28" s="21"/>
      <c r="G28" s="21"/>
      <c r="H28" s="21"/>
      <c r="I28" s="21"/>
      <c r="J28" s="21"/>
      <c r="K28" s="21"/>
      <c r="L28" s="21" t="s">
        <v>268</v>
      </c>
      <c r="M28" s="21"/>
      <c r="N28" s="40">
        <f>N23</f>
        <v>3585398</v>
      </c>
    </row>
    <row r="29" spans="2:14" ht="17.25" thickBot="1">
      <c r="B29" s="604" t="s">
        <v>211</v>
      </c>
      <c r="C29" s="591"/>
      <c r="D29" s="605">
        <f>D28/N25-1</f>
        <v>0.41119818577169154</v>
      </c>
      <c r="E29" s="21"/>
      <c r="F29" s="21"/>
      <c r="G29" s="21"/>
      <c r="H29" s="21"/>
      <c r="I29" s="21"/>
      <c r="J29" s="21"/>
      <c r="K29" s="21"/>
      <c r="L29" s="151" t="s">
        <v>209</v>
      </c>
      <c r="M29" s="152"/>
      <c r="N29" s="185">
        <f>N27+N28</f>
        <v>19682013.539999999</v>
      </c>
    </row>
    <row r="30" spans="2:14" ht="17.25" thickBot="1">
      <c r="B30" s="21"/>
      <c r="C30" s="21"/>
      <c r="D30" s="21"/>
      <c r="E30" s="21"/>
      <c r="F30" s="21"/>
      <c r="G30" s="21"/>
      <c r="H30" s="21"/>
      <c r="I30" s="21"/>
      <c r="J30" s="21"/>
      <c r="K30" s="21"/>
      <c r="L30" s="21"/>
      <c r="M30" s="21"/>
      <c r="N30" s="21"/>
    </row>
    <row r="31" spans="2:14" ht="17.25" thickBot="1">
      <c r="B31" s="195" t="s">
        <v>269</v>
      </c>
      <c r="C31" s="200"/>
      <c r="D31" s="200"/>
      <c r="E31" s="200"/>
      <c r="F31" s="200"/>
      <c r="G31" s="200"/>
      <c r="H31" s="200"/>
      <c r="I31" s="201"/>
      <c r="J31" s="21"/>
      <c r="K31" s="21"/>
      <c r="L31" s="21"/>
      <c r="M31" s="21"/>
      <c r="N31" s="21"/>
    </row>
    <row r="32" spans="2:14">
      <c r="B32" s="21"/>
      <c r="C32" s="21"/>
      <c r="D32" s="21"/>
      <c r="E32" s="21"/>
      <c r="F32" s="21"/>
      <c r="G32" s="21"/>
      <c r="H32" s="21"/>
      <c r="I32" s="21"/>
      <c r="J32" s="21"/>
      <c r="K32" s="21"/>
      <c r="L32" s="21"/>
      <c r="M32" s="21"/>
      <c r="N32" s="21"/>
    </row>
    <row r="33" spans="2:14" ht="17.25" thickBot="1">
      <c r="B33" s="21"/>
      <c r="C33" s="21"/>
      <c r="D33" s="21"/>
      <c r="E33" s="21"/>
      <c r="F33" s="21" t="s">
        <v>249</v>
      </c>
      <c r="G33" s="21"/>
      <c r="H33" s="21"/>
      <c r="I33" s="21"/>
      <c r="J33" s="21"/>
      <c r="K33" s="21"/>
      <c r="L33" s="21"/>
      <c r="M33" s="21"/>
      <c r="N33" s="21"/>
    </row>
    <row r="34" spans="2:14" ht="17.25" thickBot="1">
      <c r="B34" s="21"/>
      <c r="C34" s="122">
        <f>D28</f>
        <v>177.37349996964392</v>
      </c>
      <c r="D34" s="165">
        <f>E34-0.0025</f>
        <v>9.7299999999999998E-2</v>
      </c>
      <c r="E34" s="166">
        <f>F34-0.0025</f>
        <v>9.98E-2</v>
      </c>
      <c r="F34" s="166">
        <v>0.1023</v>
      </c>
      <c r="G34" s="166">
        <f>F34+0.0025</f>
        <v>0.1048</v>
      </c>
      <c r="H34" s="167">
        <f>G34+0.0025</f>
        <v>0.10730000000000001</v>
      </c>
      <c r="I34" s="21"/>
      <c r="J34" s="21"/>
      <c r="K34" s="21"/>
      <c r="L34" s="21"/>
      <c r="M34" s="21"/>
      <c r="N34" s="21"/>
    </row>
    <row r="35" spans="2:14" ht="17.25" thickBot="1">
      <c r="B35" s="21"/>
      <c r="C35" s="168">
        <f>C36-0.0025</f>
        <v>1.5000000000000001E-2</v>
      </c>
      <c r="D35" s="169">
        <f t="dataTable" ref="D35:H39" dt2D="1" dtr="1" r1="N19" r2="D20"/>
        <v>177.53963794187362</v>
      </c>
      <c r="E35" s="170">
        <v>171.18781505596252</v>
      </c>
      <c r="F35" s="170">
        <v>165.20327117451694</v>
      </c>
      <c r="G35" s="170">
        <v>159.55529277416744</v>
      </c>
      <c r="H35" s="171">
        <v>154.21649441859682</v>
      </c>
      <c r="I35" s="21"/>
      <c r="J35" s="21"/>
      <c r="K35" s="21"/>
      <c r="L35" s="21"/>
      <c r="M35" s="21"/>
      <c r="N35" s="21"/>
    </row>
    <row r="36" spans="2:14" ht="17.25" thickBot="1">
      <c r="B36" s="769" t="s">
        <v>270</v>
      </c>
      <c r="C36" s="172">
        <f>C37-0.0025</f>
        <v>1.7500000000000002E-2</v>
      </c>
      <c r="D36" s="173">
        <v>182.73420990874277</v>
      </c>
      <c r="E36" s="169">
        <v>176.03732249706925</v>
      </c>
      <c r="F36" s="170">
        <v>169.73884143851674</v>
      </c>
      <c r="G36" s="171">
        <v>163.80450000030336</v>
      </c>
      <c r="H36" s="174">
        <v>158.20384786313613</v>
      </c>
      <c r="I36" s="21"/>
      <c r="J36" s="21"/>
      <c r="K36" s="21"/>
      <c r="L36" s="21"/>
      <c r="M36" s="21"/>
      <c r="N36" s="21"/>
    </row>
    <row r="37" spans="2:14" ht="17.25" thickBot="1">
      <c r="B37" s="769"/>
      <c r="C37" s="172">
        <v>0.02</v>
      </c>
      <c r="D37" s="173">
        <v>188.26478264966553</v>
      </c>
      <c r="E37" s="173">
        <v>181.1906837878694</v>
      </c>
      <c r="F37" s="175">
        <v>174.5499627513621</v>
      </c>
      <c r="G37" s="174">
        <v>168.30425010533881</v>
      </c>
      <c r="H37" s="174">
        <v>162.41957206624016</v>
      </c>
      <c r="I37" s="21"/>
      <c r="J37" s="21"/>
      <c r="K37" s="21"/>
      <c r="L37" s="21"/>
      <c r="M37" s="21"/>
      <c r="N37" s="21"/>
    </row>
    <row r="38" spans="2:14" ht="17.25" thickBot="1">
      <c r="B38" s="769"/>
      <c r="C38" s="172">
        <f>C37+0.0025</f>
        <v>2.2499999999999999E-2</v>
      </c>
      <c r="D38" s="173">
        <v>194.1650460818264</v>
      </c>
      <c r="E38" s="176">
        <v>186.6773802203771</v>
      </c>
      <c r="F38" s="177">
        <v>179.66253276801982</v>
      </c>
      <c r="G38" s="178">
        <v>173.07737506487209</v>
      </c>
      <c r="H38" s="174">
        <v>166.883864913395</v>
      </c>
      <c r="I38" s="21"/>
      <c r="J38" s="21"/>
      <c r="K38" s="21"/>
      <c r="L38" s="21"/>
      <c r="M38" s="21"/>
      <c r="N38" s="21"/>
    </row>
    <row r="39" spans="2:14" ht="17.25" thickBot="1">
      <c r="B39" s="21"/>
      <c r="C39" s="179">
        <f>C38+0.0025</f>
        <v>2.4999999999999998E-2</v>
      </c>
      <c r="D39" s="176">
        <v>200.47334986199294</v>
      </c>
      <c r="E39" s="177">
        <v>192.53083443580647</v>
      </c>
      <c r="F39" s="177">
        <v>185.10579942223634</v>
      </c>
      <c r="G39" s="177">
        <v>178.14956800432603</v>
      </c>
      <c r="H39" s="178">
        <v>171.61937846815349</v>
      </c>
      <c r="I39" s="21"/>
      <c r="J39" s="21"/>
      <c r="K39" s="21"/>
      <c r="L39" s="21"/>
      <c r="M39" s="21"/>
      <c r="N39" s="21"/>
    </row>
  </sheetData>
  <mergeCells count="1">
    <mergeCell ref="B36:B38"/>
  </mergeCells>
  <conditionalFormatting sqref="D35:H39">
    <cfRule type="colorScale" priority="1">
      <colorScale>
        <cfvo type="min"/>
        <cfvo type="percentile" val="50"/>
        <cfvo type="max"/>
        <color rgb="FFF8696B"/>
        <color rgb="FFFCFCFF"/>
        <color rgb="FF63BE7B"/>
      </colorScale>
    </cfRule>
    <cfRule type="cellIs" dxfId="23" priority="2" operator="greaterThan">
      <formula>#REF!</formula>
    </cfRule>
    <cfRule type="cellIs" dxfId="22" priority="3" operator="lessThan">
      <formula>#REF!</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9F03-A2B2-4244-9124-1EF182D8AADF}">
  <sheetPr>
    <tabColor rgb="FF002060"/>
  </sheetPr>
  <dimension ref="A1:AA57"/>
  <sheetViews>
    <sheetView showGridLines="0" zoomScale="90" zoomScaleNormal="90" workbookViewId="0">
      <selection activeCell="B1" sqref="B1"/>
    </sheetView>
  </sheetViews>
  <sheetFormatPr defaultColWidth="9.140625" defaultRowHeight="15"/>
  <cols>
    <col min="1" max="1" width="1.28515625" style="408" customWidth="1"/>
    <col min="2" max="2" width="33.42578125" style="408" bestFit="1" customWidth="1"/>
    <col min="3" max="3" width="2.140625" style="408" bestFit="1" customWidth="1"/>
    <col min="4" max="4" width="19" style="408" bestFit="1" customWidth="1"/>
    <col min="5" max="5" width="1.7109375" style="408" customWidth="1"/>
    <col min="6" max="6" width="21.5703125" style="408" customWidth="1"/>
    <col min="7" max="7" width="20.7109375" style="408" bestFit="1" customWidth="1"/>
    <col min="8" max="9" width="20.7109375" style="408" customWidth="1"/>
    <col min="10" max="10" width="20.7109375" style="408" bestFit="1" customWidth="1"/>
    <col min="11" max="12" width="20.7109375" style="408" customWidth="1"/>
    <col min="13" max="13" width="1.7109375" customWidth="1"/>
    <col min="14" max="14" width="13.28515625" style="408" bestFit="1" customWidth="1"/>
    <col min="15" max="17" width="13.28515625" style="408" customWidth="1"/>
    <col min="18" max="18" width="13.140625" style="408" bestFit="1" customWidth="1"/>
    <col min="19" max="19" width="7.7109375" style="408" bestFit="1" customWidth="1"/>
    <col min="20" max="16384" width="9.140625" style="408"/>
  </cols>
  <sheetData>
    <row r="1" spans="1:27" ht="9.9499999999999993" customHeight="1">
      <c r="A1" s="406"/>
      <c r="B1" s="406"/>
      <c r="C1" s="406"/>
      <c r="D1" s="406"/>
      <c r="E1" s="406"/>
      <c r="F1" s="406"/>
      <c r="G1" s="406"/>
      <c r="H1" s="406"/>
      <c r="I1" s="406"/>
      <c r="J1" s="406"/>
      <c r="K1" s="406"/>
      <c r="L1" s="406"/>
      <c r="N1" s="406"/>
      <c r="O1" s="406"/>
      <c r="P1" s="406"/>
      <c r="Q1" s="406"/>
    </row>
    <row r="2" spans="1:27" ht="17.25" thickBot="1">
      <c r="A2" s="414"/>
      <c r="B2" s="505" t="s">
        <v>338</v>
      </c>
      <c r="C2" s="506"/>
      <c r="D2" s="506"/>
      <c r="E2" s="506"/>
      <c r="F2" s="506"/>
      <c r="G2" s="506"/>
      <c r="H2" s="506"/>
      <c r="I2" s="506"/>
      <c r="J2" s="506"/>
      <c r="K2" s="506"/>
      <c r="L2" s="506"/>
      <c r="M2" s="571"/>
      <c r="N2" s="506"/>
      <c r="O2" s="506"/>
      <c r="P2" s="506"/>
      <c r="Q2" s="507"/>
    </row>
    <row r="3" spans="1:27" ht="4.5" customHeight="1" thickBot="1">
      <c r="A3" s="406"/>
      <c r="B3" s="573"/>
      <c r="C3" s="415"/>
      <c r="D3" s="415"/>
      <c r="E3" s="415"/>
      <c r="F3" s="415"/>
      <c r="G3" s="415"/>
      <c r="H3" s="415"/>
      <c r="I3" s="415"/>
      <c r="J3" s="415"/>
      <c r="K3" s="415"/>
      <c r="L3" s="415"/>
      <c r="N3" s="415"/>
      <c r="O3" s="415"/>
      <c r="P3" s="415"/>
      <c r="Q3" s="415"/>
    </row>
    <row r="4" spans="1:27" ht="17.25" thickBot="1">
      <c r="A4" s="414"/>
      <c r="B4" s="417"/>
      <c r="C4" s="418"/>
      <c r="D4" s="419" t="s">
        <v>282</v>
      </c>
      <c r="E4" s="420"/>
      <c r="F4" s="770" t="s">
        <v>372</v>
      </c>
      <c r="G4" s="771"/>
      <c r="H4" s="771"/>
      <c r="I4" s="771"/>
      <c r="J4" s="771"/>
      <c r="K4" s="771"/>
      <c r="L4" s="771"/>
      <c r="N4" s="424"/>
      <c r="O4" s="425" t="s">
        <v>247</v>
      </c>
      <c r="P4" s="426"/>
      <c r="Q4" s="427"/>
    </row>
    <row r="5" spans="1:27" ht="16.5">
      <c r="A5" s="414"/>
      <c r="B5" s="430"/>
      <c r="C5" s="414"/>
      <c r="D5" s="431"/>
      <c r="E5" s="406"/>
      <c r="F5" s="406"/>
      <c r="G5" s="406"/>
      <c r="H5" s="406"/>
      <c r="I5" s="406"/>
      <c r="J5" s="406"/>
      <c r="K5" s="406"/>
      <c r="L5" s="406"/>
      <c r="M5" s="571"/>
      <c r="N5" s="406"/>
      <c r="O5" s="406"/>
      <c r="P5" s="406"/>
      <c r="Q5" s="414"/>
      <c r="R5"/>
      <c r="X5"/>
    </row>
    <row r="6" spans="1:27" ht="16.5">
      <c r="A6" s="414"/>
      <c r="B6" s="430"/>
      <c r="C6" s="414"/>
      <c r="D6" s="431"/>
      <c r="E6" s="432"/>
      <c r="F6" s="432"/>
      <c r="G6"/>
      <c r="H6"/>
      <c r="I6"/>
      <c r="J6"/>
      <c r="K6"/>
      <c r="L6" s="599"/>
      <c r="M6" s="599"/>
      <c r="N6" s="406"/>
      <c r="O6" s="406"/>
      <c r="P6" s="406"/>
      <c r="Q6" s="414"/>
    </row>
    <row r="7" spans="1:27" ht="16.5">
      <c r="A7" s="414"/>
      <c r="B7" s="430"/>
      <c r="C7" s="414"/>
      <c r="D7" s="431"/>
      <c r="E7" s="406"/>
      <c r="F7"/>
      <c r="L7" s="499"/>
      <c r="M7" s="599"/>
      <c r="N7" s="406"/>
      <c r="O7" s="406"/>
      <c r="P7" s="406"/>
      <c r="Q7" s="414"/>
    </row>
    <row r="8" spans="1:27" ht="17.25" thickBot="1">
      <c r="A8" s="414"/>
      <c r="B8" s="434" t="s">
        <v>373</v>
      </c>
      <c r="C8" s="429"/>
      <c r="D8" s="435"/>
      <c r="E8" s="407"/>
      <c r="F8" s="407"/>
      <c r="G8" s="407"/>
      <c r="H8" s="407"/>
      <c r="I8" s="407"/>
      <c r="J8" s="407"/>
      <c r="K8" s="407"/>
      <c r="L8" s="429"/>
      <c r="N8" s="436"/>
      <c r="O8" s="407"/>
      <c r="P8" s="407"/>
      <c r="Q8" s="429"/>
      <c r="AA8" s="406"/>
    </row>
    <row r="9" spans="1:27" ht="17.25" thickBot="1">
      <c r="A9" s="414"/>
      <c r="B9" s="437"/>
      <c r="C9" s="414"/>
      <c r="D9" s="431"/>
      <c r="E9" s="406"/>
      <c r="F9" s="406"/>
      <c r="G9" s="406"/>
      <c r="H9" s="406"/>
      <c r="I9" s="406"/>
      <c r="J9" s="406"/>
      <c r="K9" s="406"/>
      <c r="L9" s="414"/>
      <c r="N9" s="21"/>
      <c r="O9" s="361" t="s">
        <v>352</v>
      </c>
      <c r="P9" s="361" t="s">
        <v>195</v>
      </c>
      <c r="Q9" s="361" t="s">
        <v>353</v>
      </c>
    </row>
    <row r="10" spans="1:27" ht="16.5">
      <c r="A10" s="414"/>
      <c r="B10" s="430" t="s">
        <v>354</v>
      </c>
      <c r="C10" s="414"/>
      <c r="D10" s="438" t="s">
        <v>386</v>
      </c>
      <c r="E10" s="439"/>
      <c r="F10" s="593" t="s">
        <v>489</v>
      </c>
      <c r="G10" s="593" t="s">
        <v>421</v>
      </c>
      <c r="H10" s="593" t="s">
        <v>506</v>
      </c>
      <c r="I10" s="806" t="s">
        <v>508</v>
      </c>
      <c r="J10" s="593" t="s">
        <v>424</v>
      </c>
      <c r="K10" s="807" t="s">
        <v>387</v>
      </c>
      <c r="L10" s="815" t="s">
        <v>504</v>
      </c>
      <c r="N10" s="365" t="s">
        <v>210</v>
      </c>
      <c r="O10" s="657">
        <f>O17*$Q$32</f>
        <v>590.7109354328785</v>
      </c>
      <c r="P10" s="658">
        <f>P17*$Q$32</f>
        <v>195.15202183006505</v>
      </c>
      <c r="Q10" s="659">
        <f>Q17*$Q$32</f>
        <v>70.434379162565904</v>
      </c>
    </row>
    <row r="11" spans="1:27" ht="16.5">
      <c r="A11" s="414"/>
      <c r="B11" s="430" t="s">
        <v>374</v>
      </c>
      <c r="C11" s="414"/>
      <c r="D11" s="441" t="s">
        <v>182</v>
      </c>
      <c r="E11" s="442"/>
      <c r="F11" s="442" t="s">
        <v>490</v>
      </c>
      <c r="G11" s="442" t="s">
        <v>423</v>
      </c>
      <c r="H11" s="442" t="s">
        <v>507</v>
      </c>
      <c r="I11" s="442" t="s">
        <v>509</v>
      </c>
      <c r="J11" s="442" t="s">
        <v>425</v>
      </c>
      <c r="K11" s="808" t="s">
        <v>392</v>
      </c>
      <c r="L11" s="563" t="s">
        <v>505</v>
      </c>
      <c r="N11" s="365" t="s">
        <v>493</v>
      </c>
      <c r="O11" s="660">
        <f>((O18*$Q$33)-$Q$38+$Q$37)/$Q$39</f>
        <v>653.48438653966878</v>
      </c>
      <c r="P11" s="586">
        <f>((P18*$Q$33)-$Q$38+$Q$37)/$Q$39</f>
        <v>236.51277477100686</v>
      </c>
      <c r="Q11" s="661">
        <f>((Q18*$Q$33)-$Q$38+$Q$37)/$Q$39</f>
        <v>79.898194665841444</v>
      </c>
      <c r="R11" s="504"/>
    </row>
    <row r="12" spans="1:27" ht="16.5">
      <c r="A12" s="414"/>
      <c r="B12" s="430" t="s">
        <v>375</v>
      </c>
      <c r="C12" s="414"/>
      <c r="D12" s="443">
        <f>IF(D13="Thousands",D39/1000000,IF(D13="Millions",D39/100))</f>
        <v>17.416975999999998</v>
      </c>
      <c r="E12" s="444"/>
      <c r="F12" s="444">
        <f>IF(F13="Thousands",F39/1000000,IF(F13="Millions",F39/1000))</f>
        <v>11.91465</v>
      </c>
      <c r="G12" s="444">
        <f>IF(G13="Thousands",G39/1000000,IF(G13="Millions",G39/1000))</f>
        <v>12.967879999999999</v>
      </c>
      <c r="H12" s="444">
        <f>IF(H13="Thousands",H39/1000000,IF(H13="Millions",H39/1000))</f>
        <v>3.0564401299999999</v>
      </c>
      <c r="I12" s="444">
        <f>IF(I13="Thousands",I39/1000000,IF(I13="Millions",I39/1000))</f>
        <v>130.52520000000001</v>
      </c>
      <c r="J12" s="444">
        <f>IF(J13="Thousands",J39/1000000,IF(J13="Millions",J39/1000))</f>
        <v>7.1375827600000008</v>
      </c>
      <c r="K12" s="809">
        <f>IF(K13="Thousands",K39/1000000,IF(K13="Millions",K39/1000))</f>
        <v>8.9265105899999995</v>
      </c>
      <c r="L12" s="564">
        <f>IF(L13="Thousands",L39/1000000,IF(L13="Millions",L39/1000))</f>
        <v>334.84152</v>
      </c>
      <c r="N12" s="365" t="s">
        <v>207</v>
      </c>
      <c r="O12" s="660">
        <f>((O19*$Q$34)-$Q$38+$Q$37)/$Q$39</f>
        <v>661.75068834717433</v>
      </c>
      <c r="P12" s="586">
        <f>((P19*$Q$34)-$Q$38+$Q$37)/$Q$39</f>
        <v>263.83032351217543</v>
      </c>
      <c r="Q12" s="661">
        <f>((Q19*$Q$34)-$Q$38+$Q$37)/$Q$39</f>
        <v>96.777085767772164</v>
      </c>
      <c r="U12"/>
    </row>
    <row r="13" spans="1:27" ht="17.25" thickBot="1">
      <c r="A13" s="414"/>
      <c r="B13" s="430" t="s">
        <v>356</v>
      </c>
      <c r="C13" s="414"/>
      <c r="D13" s="445" t="s">
        <v>164</v>
      </c>
      <c r="E13" s="410"/>
      <c r="F13" s="410" t="s">
        <v>164</v>
      </c>
      <c r="G13" s="410" t="s">
        <v>164</v>
      </c>
      <c r="H13" s="410" t="s">
        <v>164</v>
      </c>
      <c r="I13" s="410" t="s">
        <v>164</v>
      </c>
      <c r="J13" s="410" t="s">
        <v>164</v>
      </c>
      <c r="K13" s="810" t="s">
        <v>164</v>
      </c>
      <c r="L13" s="565" t="s">
        <v>164</v>
      </c>
      <c r="N13" s="365" t="s">
        <v>357</v>
      </c>
      <c r="O13" s="660">
        <f>($Q$35/$Q$39)*O20</f>
        <v>1034.1079679561431</v>
      </c>
      <c r="P13" s="586">
        <f>($Q$35/$Q$39)*P20</f>
        <v>197.93989359772419</v>
      </c>
      <c r="Q13" s="661">
        <f>($Q$35/$Q$39)*Q20</f>
        <v>80.329588323173709</v>
      </c>
    </row>
    <row r="14" spans="1:27" ht="16.5">
      <c r="A14" s="414"/>
      <c r="B14" s="430" t="s">
        <v>262</v>
      </c>
      <c r="C14" s="414"/>
      <c r="D14" s="445">
        <f>D37</f>
        <v>136</v>
      </c>
      <c r="E14" s="406"/>
      <c r="F14" s="410">
        <f>F37</f>
        <v>130.5</v>
      </c>
      <c r="G14" s="410">
        <f>G37</f>
        <v>57.38</v>
      </c>
      <c r="H14" s="410">
        <f>H37</f>
        <v>73.69</v>
      </c>
      <c r="I14" s="410">
        <f>I37</f>
        <v>223.12</v>
      </c>
      <c r="J14" s="410">
        <f>J37</f>
        <v>65.56</v>
      </c>
      <c r="K14" s="810">
        <f>K37</f>
        <v>80.33</v>
      </c>
      <c r="L14" s="565">
        <f>L37</f>
        <v>333.84</v>
      </c>
      <c r="N14" s="21"/>
      <c r="O14" s="397" t="s">
        <v>358</v>
      </c>
      <c r="P14" s="509"/>
      <c r="Q14" s="510">
        <f>AVERAGE(P10:P13)</f>
        <v>223.3587534277429</v>
      </c>
    </row>
    <row r="15" spans="1:27" ht="17.25" thickBot="1">
      <c r="A15" s="414"/>
      <c r="B15" s="430" t="s">
        <v>376</v>
      </c>
      <c r="C15" s="414"/>
      <c r="D15" s="445">
        <f>D43/D38</f>
        <v>37.287929129226221</v>
      </c>
      <c r="E15" s="410"/>
      <c r="F15" s="410">
        <f>F43/F38</f>
        <v>55.136911281489596</v>
      </c>
      <c r="G15" s="410">
        <f>G43/G38</f>
        <v>3.0973451327433628E-2</v>
      </c>
      <c r="H15" s="410">
        <f>H43/H38</f>
        <v>32.664030667598908</v>
      </c>
      <c r="I15" s="410">
        <f>I43/I38</f>
        <v>-25.182905982905982</v>
      </c>
      <c r="J15" s="410">
        <f>J43/J38</f>
        <v>5.7271908956471425</v>
      </c>
      <c r="K15" s="810">
        <f>K43/K38</f>
        <v>57.775797989615114</v>
      </c>
      <c r="L15" s="565">
        <f>L43/L38</f>
        <v>1.3310069790628116</v>
      </c>
      <c r="N15" s="21"/>
      <c r="O15" s="511" t="s">
        <v>203</v>
      </c>
      <c r="P15" s="512"/>
      <c r="Q15" s="592">
        <f>(Q14-Q31)/Q31</f>
        <v>0.77706065261948365</v>
      </c>
    </row>
    <row r="16" spans="1:27" ht="17.25" thickBot="1">
      <c r="A16" s="414"/>
      <c r="B16" s="434" t="s">
        <v>247</v>
      </c>
      <c r="C16" s="429"/>
      <c r="D16" s="446"/>
      <c r="E16" s="407"/>
      <c r="F16" s="407"/>
      <c r="G16" s="407"/>
      <c r="H16" s="816"/>
      <c r="I16" s="407"/>
      <c r="J16" s="407"/>
      <c r="K16" s="407"/>
      <c r="L16" s="429"/>
      <c r="N16" s="406"/>
      <c r="O16" s="476"/>
      <c r="R16" s="504"/>
      <c r="S16"/>
      <c r="T16"/>
    </row>
    <row r="17" spans="1:17" ht="16.5">
      <c r="A17" s="414"/>
      <c r="B17" s="430" t="s">
        <v>210</v>
      </c>
      <c r="C17" s="414"/>
      <c r="D17" s="448">
        <f>D37/D50</f>
        <v>10.400353416590054</v>
      </c>
      <c r="E17" s="447"/>
      <c r="F17" s="447">
        <f>F37/F50</f>
        <v>9.2422096317280449</v>
      </c>
      <c r="G17" s="447">
        <f>G37/G50</f>
        <v>16.163380281690142</v>
      </c>
      <c r="H17" s="447">
        <f>H37/H50</f>
        <v>9.3992346938775508</v>
      </c>
      <c r="I17" s="447">
        <f>I37/I50</f>
        <v>21.599225556631172</v>
      </c>
      <c r="J17" s="447">
        <f>J37/J50</f>
        <v>48.92537313432836</v>
      </c>
      <c r="K17" s="811">
        <f>K37/K50</f>
        <v>5.8336964415395789</v>
      </c>
      <c r="L17" s="455">
        <f>L37/L50</f>
        <v>20.838951310861418</v>
      </c>
      <c r="N17" s="414"/>
      <c r="O17" s="676">
        <f>MAX(F17:L17)</f>
        <v>48.92537313432836</v>
      </c>
      <c r="P17" s="450">
        <f>MEDIAN(F17:L17)</f>
        <v>16.163380281690142</v>
      </c>
      <c r="Q17" s="451">
        <f>MIN(F17:L17)</f>
        <v>5.8336964415395789</v>
      </c>
    </row>
    <row r="18" spans="1:17" ht="16.5">
      <c r="A18" s="414"/>
      <c r="B18" s="430" t="s">
        <v>355</v>
      </c>
      <c r="C18" s="414"/>
      <c r="D18" s="448">
        <f>D42/D48</f>
        <v>8.0116972541501728</v>
      </c>
      <c r="E18" s="447"/>
      <c r="F18" s="447">
        <f>F42/F48</f>
        <v>7.7160674778761065</v>
      </c>
      <c r="G18" s="447">
        <f>G42/G48</f>
        <v>13.771170212765957</v>
      </c>
      <c r="H18" s="447">
        <f>H42/H48</f>
        <v>8.0072878758019659</v>
      </c>
      <c r="I18" s="447">
        <f>I42/I48</f>
        <v>16.617712478318538</v>
      </c>
      <c r="J18" s="447">
        <f>J42/J48</f>
        <v>38.146543173301318</v>
      </c>
      <c r="K18" s="812">
        <f>K42/K48</f>
        <v>4.6157776311744811</v>
      </c>
      <c r="L18" s="455">
        <f>L42/L48</f>
        <v>16.179753472222224</v>
      </c>
      <c r="N18" s="414"/>
      <c r="O18" s="597">
        <f>MAX(F18:L18)</f>
        <v>38.146543173301318</v>
      </c>
      <c r="P18" s="598">
        <f>MEDIAN(F18:L18)</f>
        <v>13.771170212765957</v>
      </c>
      <c r="Q18" s="452">
        <f>MIN(F18:L18)</f>
        <v>4.6157776311744811</v>
      </c>
    </row>
    <row r="19" spans="1:17" ht="16.5">
      <c r="A19" s="414"/>
      <c r="B19" s="430" t="s">
        <v>207</v>
      </c>
      <c r="D19" s="448">
        <f>D42/D53</f>
        <v>6.621143150889047</v>
      </c>
      <c r="F19" s="447">
        <f>F42/F53</f>
        <v>5.9238428874734606</v>
      </c>
      <c r="G19" s="447">
        <f>G42/G53</f>
        <v>12.212169811320754</v>
      </c>
      <c r="H19" s="447">
        <f>H42/H53</f>
        <v>6.39671067864208</v>
      </c>
      <c r="I19" s="447">
        <f>I42/I53</f>
        <v>14.145405593190898</v>
      </c>
      <c r="J19" s="447">
        <f>J42/J53</f>
        <v>30.696917742616829</v>
      </c>
      <c r="K19" s="812">
        <f>K42/K53</f>
        <v>4.4519814326922553</v>
      </c>
      <c r="L19" s="455">
        <f>L42/L53</f>
        <v>14.574872737224851</v>
      </c>
      <c r="N19" s="414"/>
      <c r="O19" s="597">
        <f>MAX(F19:L19)</f>
        <v>30.696917742616829</v>
      </c>
      <c r="P19" s="598">
        <f>MEDIAN(F19:L19)</f>
        <v>12.212169811320754</v>
      </c>
      <c r="Q19" s="452">
        <f>MIN(F19:L19)</f>
        <v>4.4519814326922553</v>
      </c>
    </row>
    <row r="20" spans="1:17" ht="16.5">
      <c r="A20" s="414"/>
      <c r="B20" s="430" t="s">
        <v>357</v>
      </c>
      <c r="C20" s="414"/>
      <c r="D20" s="551">
        <f>D39/D46</f>
        <v>0.93987145592910393</v>
      </c>
      <c r="E20" s="552"/>
      <c r="F20" s="553">
        <f>F39/F46</f>
        <v>1.2273022249690977</v>
      </c>
      <c r="G20" s="553">
        <f>G39/G46</f>
        <v>1.5751099234786834</v>
      </c>
      <c r="H20" s="553">
        <f>H39/H46</f>
        <v>0.56818558142984799</v>
      </c>
      <c r="I20" s="553">
        <f>I39/I46</f>
        <v>1.4000643583472776</v>
      </c>
      <c r="J20" s="553">
        <f>J39/J46</f>
        <v>7.3144310745197387</v>
      </c>
      <c r="K20" s="553">
        <f t="shared" ref="K20" si="0">K39/K46</f>
        <v>0.83527407792925257</v>
      </c>
      <c r="L20" s="566">
        <f>L39/L46</f>
        <v>2.1619974689428965</v>
      </c>
      <c r="N20" s="414"/>
      <c r="O20" s="597">
        <f>MAX(F20:L20)</f>
        <v>7.3144310745197387</v>
      </c>
      <c r="P20" s="598">
        <f>MEDIAN(F20:L20)</f>
        <v>1.4000643583472776</v>
      </c>
      <c r="Q20" s="452">
        <f>MIN(F20:L20)</f>
        <v>0.56818558142984799</v>
      </c>
    </row>
    <row r="21" spans="1:17" ht="16.5">
      <c r="A21" s="414"/>
      <c r="B21" s="430" t="s">
        <v>377</v>
      </c>
      <c r="C21" s="414"/>
      <c r="D21" s="453">
        <f>D15/D14</f>
        <v>0.27417594947960455</v>
      </c>
      <c r="E21" s="447"/>
      <c r="F21" s="454">
        <f>F15/F14</f>
        <v>0.42250506729110804</v>
      </c>
      <c r="G21" s="454">
        <f>G15/G14</f>
        <v>5.3979524795109144E-4</v>
      </c>
      <c r="H21" s="454">
        <f>H15/H14</f>
        <v>0.44326273127424221</v>
      </c>
      <c r="I21" s="454">
        <f>I15/I14</f>
        <v>-0.1128670938638669</v>
      </c>
      <c r="J21" s="454">
        <f>J15/J14</f>
        <v>8.7358006339950306E-2</v>
      </c>
      <c r="K21" s="458">
        <f>K15/K14</f>
        <v>0.71923064844535189</v>
      </c>
      <c r="L21" s="567">
        <f>L15/L14</f>
        <v>3.9869607568380414E-3</v>
      </c>
      <c r="N21" s="414"/>
      <c r="O21" s="447"/>
      <c r="P21" s="447"/>
      <c r="Q21" s="455"/>
    </row>
    <row r="22" spans="1:17" ht="17.25" thickBot="1">
      <c r="A22" s="414"/>
      <c r="B22" s="434" t="s">
        <v>359</v>
      </c>
      <c r="C22" s="429"/>
      <c r="D22" s="446"/>
      <c r="E22" s="407"/>
      <c r="F22" s="407"/>
      <c r="G22" s="407"/>
      <c r="H22" s="407"/>
      <c r="I22" s="407"/>
      <c r="J22" s="407"/>
      <c r="K22" s="407"/>
      <c r="L22" s="429"/>
      <c r="N22" s="414"/>
      <c r="O22" s="407"/>
      <c r="P22" s="407"/>
      <c r="Q22" s="429"/>
    </row>
    <row r="23" spans="1:17" ht="16.5">
      <c r="A23" s="414"/>
      <c r="B23" s="430" t="s">
        <v>378</v>
      </c>
      <c r="C23" s="414"/>
      <c r="D23" s="453">
        <f>D47/D46</f>
        <v>0.34893551599807288</v>
      </c>
      <c r="E23" s="458"/>
      <c r="F23" s="454">
        <f>F47/F46</f>
        <v>0.26823238566131025</v>
      </c>
      <c r="G23" s="454">
        <f>G47/G46</f>
        <v>0.3252763269768007</v>
      </c>
      <c r="H23" s="454">
        <f>H47/H46</f>
        <v>0.32379274697316507</v>
      </c>
      <c r="I23" s="454">
        <f>I47/I46</f>
        <v>0.33251812760114985</v>
      </c>
      <c r="J23" s="454">
        <f>J47/J46</f>
        <v>0.37155956721615213</v>
      </c>
      <c r="K23" s="813">
        <f>K47/K46</f>
        <v>0.26188882787975287</v>
      </c>
      <c r="L23" s="567">
        <f>L47/L46</f>
        <v>0.33487435109377822</v>
      </c>
      <c r="N23" s="414"/>
      <c r="O23" s="459">
        <f>MAX(G23:L23)</f>
        <v>0.37155956721615213</v>
      </c>
      <c r="P23" s="460">
        <f>MEDIAN(F23:L23)</f>
        <v>0.3252763269768007</v>
      </c>
      <c r="Q23" s="461">
        <f>MIN(F23:L23)</f>
        <v>0.26188882787975287</v>
      </c>
    </row>
    <row r="24" spans="1:17" ht="16.5">
      <c r="A24" s="414"/>
      <c r="B24" s="430" t="s">
        <v>297</v>
      </c>
      <c r="C24" s="414"/>
      <c r="D24" s="453">
        <f>D53/D46</f>
        <v>0.16877658215060931</v>
      </c>
      <c r="E24" s="458"/>
      <c r="F24" s="454">
        <f>F53/F46</f>
        <v>0.24258343634116192</v>
      </c>
      <c r="G24" s="454">
        <f>G53/G46</f>
        <v>0.15450018219361109</v>
      </c>
      <c r="H24" s="454">
        <f>H53/H46</f>
        <v>0.11690073372013714</v>
      </c>
      <c r="I24" s="454">
        <f>I53/I46</f>
        <v>0.12350366842579483</v>
      </c>
      <c r="J24" s="454">
        <f>J53/J46</f>
        <v>0.24501497199284294</v>
      </c>
      <c r="K24" s="458">
        <f>K53/K46</f>
        <v>0.20514303273795154</v>
      </c>
      <c r="L24" s="567">
        <f>L53/L46</f>
        <v>0.1651450192411994</v>
      </c>
      <c r="N24" s="414"/>
      <c r="O24" s="459">
        <f>MAX(F24:L24)</f>
        <v>0.24501497199284294</v>
      </c>
      <c r="P24" s="460">
        <f>MEDIAN(F24:L24)</f>
        <v>0.1651450192411994</v>
      </c>
      <c r="Q24" s="461">
        <f>MIN(F24:L24)</f>
        <v>0.11690073372013714</v>
      </c>
    </row>
    <row r="25" spans="1:17" ht="16.5">
      <c r="A25" s="414"/>
      <c r="B25" s="430" t="s">
        <v>360</v>
      </c>
      <c r="C25" s="414"/>
      <c r="D25" s="453">
        <f>D48/D46</f>
        <v>0.13948279315697953</v>
      </c>
      <c r="E25" s="458"/>
      <c r="F25" s="454">
        <f>F48/F46</f>
        <v>0.18623815409971159</v>
      </c>
      <c r="G25" s="454">
        <f>G48/G46</f>
        <v>0.13700959553018341</v>
      </c>
      <c r="H25" s="454">
        <f>H48/H46</f>
        <v>9.3387446951731068E-2</v>
      </c>
      <c r="I25" s="454">
        <f>I48/I46</f>
        <v>0.10512936027802806</v>
      </c>
      <c r="J25" s="454">
        <f>J48/J46</f>
        <v>0.19716608151896556</v>
      </c>
      <c r="K25" s="458">
        <f>K48/K46</f>
        <v>0.19786329536918201</v>
      </c>
      <c r="L25" s="567">
        <f>L48/L46</f>
        <v>0.14876417262842531</v>
      </c>
      <c r="N25" s="414"/>
      <c r="O25" s="459">
        <f>MAX(F25:L25)</f>
        <v>0.19786329536918201</v>
      </c>
      <c r="P25" s="460">
        <f>MEDIAN(F25:L25)</f>
        <v>0.14876417262842531</v>
      </c>
      <c r="Q25" s="461">
        <f>MIN(F25:L25)</f>
        <v>9.3387446951731068E-2</v>
      </c>
    </row>
    <row r="26" spans="1:17" ht="16.5">
      <c r="A26" s="414"/>
      <c r="B26" s="430" t="s">
        <v>326</v>
      </c>
      <c r="C26" s="414"/>
      <c r="D26" s="453">
        <f>D49/D46</f>
        <v>0.10042100816610575</v>
      </c>
      <c r="E26" s="458"/>
      <c r="F26" s="454">
        <f>F49/F46</f>
        <v>0.13566131025957973</v>
      </c>
      <c r="G26" s="454">
        <f>G49/G46</f>
        <v>9.6805538685776751E-2</v>
      </c>
      <c r="H26" s="454">
        <f>H49/H46</f>
        <v>6.1411533361503054E-2</v>
      </c>
      <c r="I26" s="454">
        <f>I49/I46</f>
        <v>6.484103488222423E-2</v>
      </c>
      <c r="J26" s="454">
        <f>J49/J46</f>
        <v>0.14620084400638642</v>
      </c>
      <c r="K26" s="458">
        <f>K49/K46</f>
        <v>0.14663442913975996</v>
      </c>
      <c r="L26" s="567">
        <f>L49/L46</f>
        <v>0.10481288256411581</v>
      </c>
      <c r="N26" s="414"/>
      <c r="O26" s="459">
        <f>MAX(F26:L26)</f>
        <v>0.14663442913975996</v>
      </c>
      <c r="P26" s="460">
        <f>MEDIAN(F26:L26)</f>
        <v>0.10481288256411581</v>
      </c>
      <c r="Q26" s="461">
        <f>MIN(F26:L26)</f>
        <v>6.1411533361503054E-2</v>
      </c>
    </row>
    <row r="27" spans="1:17" ht="16.5">
      <c r="A27" s="414"/>
      <c r="B27" s="430" t="s">
        <v>405</v>
      </c>
      <c r="C27" s="414"/>
      <c r="D27" s="453">
        <f>D49/D43</f>
        <v>0.38969672929552246</v>
      </c>
      <c r="E27" s="458"/>
      <c r="F27" s="454">
        <f>F49/F43</f>
        <v>0.26162097735399287</v>
      </c>
      <c r="G27" s="454">
        <f>G49/G43</f>
        <v>113.85714285714286</v>
      </c>
      <c r="H27" s="454">
        <f>H49/H43</f>
        <v>0.24383638690705534</v>
      </c>
      <c r="I27" s="454">
        <f>I49/I43</f>
        <v>-0.41033125169698614</v>
      </c>
      <c r="J27" s="454">
        <f>J49/J43</f>
        <v>0.22880558117156488</v>
      </c>
      <c r="K27" s="458">
        <f t="shared" ref="K27" si="1">K49/K43</f>
        <v>0.24408369183610532</v>
      </c>
      <c r="L27" s="567">
        <f>L49/L43</f>
        <v>12.159550561797753</v>
      </c>
      <c r="N27" s="414"/>
      <c r="O27" s="459">
        <f>MAX(F27:L27)</f>
        <v>113.85714285714286</v>
      </c>
      <c r="P27" s="460">
        <f>MEDIAN(F27:L27)</f>
        <v>0.24408369183610532</v>
      </c>
      <c r="Q27" s="461">
        <f>MIN(F27:L27)</f>
        <v>-0.41033125169698614</v>
      </c>
    </row>
    <row r="28" spans="1:17" ht="17.25" thickBot="1">
      <c r="A28" s="414"/>
      <c r="B28" s="434" t="s">
        <v>379</v>
      </c>
      <c r="C28" s="429"/>
      <c r="D28" s="464"/>
      <c r="E28" s="465"/>
      <c r="F28" s="466"/>
      <c r="G28" s="466"/>
      <c r="H28" s="466"/>
      <c r="I28" s="466"/>
      <c r="J28" s="466"/>
      <c r="K28" s="466"/>
      <c r="L28" s="569"/>
      <c r="N28" s="414"/>
      <c r="O28" s="467"/>
      <c r="P28" s="467"/>
      <c r="Q28" s="468"/>
    </row>
    <row r="29" spans="1:17" ht="17.25" thickBot="1">
      <c r="A29" s="414"/>
      <c r="B29" s="437" t="s">
        <v>380</v>
      </c>
      <c r="C29" s="414"/>
      <c r="D29" s="469">
        <f>D41/D53</f>
        <v>1.1749166623503104</v>
      </c>
      <c r="E29" s="458"/>
      <c r="F29" s="470">
        <f>F41/F53</f>
        <v>1.2755838641188959</v>
      </c>
      <c r="G29" s="470">
        <f>G41/G53</f>
        <v>2.3160377358490565</v>
      </c>
      <c r="H29" s="470">
        <f>H41/H53</f>
        <v>1.6658217300316136</v>
      </c>
      <c r="I29" s="470">
        <f>I41/I53</f>
        <v>3.1126454750738231</v>
      </c>
      <c r="J29" s="470">
        <f>J41/J53</f>
        <v>0.86159663057162339</v>
      </c>
      <c r="K29" s="814">
        <f>K41/K53</f>
        <v>0.72786209123734003</v>
      </c>
      <c r="L29" s="570">
        <f>L41/L53</f>
        <v>1.5933846815498298</v>
      </c>
      <c r="N29" s="462"/>
    </row>
    <row r="30" spans="1:17" ht="16.5">
      <c r="A30" s="414"/>
      <c r="B30" s="559" t="s">
        <v>406</v>
      </c>
      <c r="C30" s="414"/>
      <c r="D30" s="469">
        <f>D41/D53</f>
        <v>1.1749166623503104</v>
      </c>
      <c r="E30" s="458"/>
      <c r="F30" s="470">
        <f>F41/F53</f>
        <v>1.2755838641188959</v>
      </c>
      <c r="G30" s="470">
        <f>G41/G53</f>
        <v>2.3160377358490565</v>
      </c>
      <c r="H30" s="470">
        <f>H41/H53</f>
        <v>1.6658217300316136</v>
      </c>
      <c r="I30" s="470">
        <f>I41/I53</f>
        <v>3.1126454750738231</v>
      </c>
      <c r="J30" s="470">
        <f>J41/J53</f>
        <v>0.86159663057162339</v>
      </c>
      <c r="K30" s="470">
        <f t="shared" ref="K30" si="2">K41/K53</f>
        <v>0.72786209123734003</v>
      </c>
      <c r="L30" s="570">
        <f>L41/L53</f>
        <v>1.5933846815498298</v>
      </c>
      <c r="N30" s="462"/>
      <c r="O30" s="778" t="s">
        <v>396</v>
      </c>
      <c r="P30" s="779"/>
      <c r="Q30" s="780"/>
    </row>
    <row r="31" spans="1:17" ht="16.5">
      <c r="A31" s="414"/>
      <c r="B31" s="559" t="s">
        <v>407</v>
      </c>
      <c r="C31" s="414"/>
      <c r="D31" s="469">
        <f>(D41-D40)/D53</f>
        <v>1.0524117312042875</v>
      </c>
      <c r="E31" s="458"/>
      <c r="F31" s="470">
        <f>(F41-F40)/F53</f>
        <v>0.86454352441613591</v>
      </c>
      <c r="G31" s="470">
        <f>(G41-G40)/G53</f>
        <v>2.0172955974842766</v>
      </c>
      <c r="H31" s="470">
        <f>(H41-H40)/H53</f>
        <v>1.536299940843834</v>
      </c>
      <c r="I31" s="470">
        <f>(I41-I40)/I53</f>
        <v>2.8091888136182037</v>
      </c>
      <c r="J31" s="470">
        <f>(J41-J40)/J53</f>
        <v>0.84392135212115893</v>
      </c>
      <c r="K31" s="470">
        <f t="shared" ref="K31" si="3">(K41-K40)/K53</f>
        <v>0.38031462158379964</v>
      </c>
      <c r="L31" s="570">
        <f>(L41-L40)/L53</f>
        <v>1.4833639598076396</v>
      </c>
      <c r="N31" s="406"/>
      <c r="O31" s="802" t="s">
        <v>262</v>
      </c>
      <c r="P31" s="803"/>
      <c r="Q31" s="662">
        <f>'Tear Sheet'!H10</f>
        <v>125.69</v>
      </c>
    </row>
    <row r="32" spans="1:17" ht="16.5">
      <c r="A32" s="414"/>
      <c r="B32" s="430" t="s">
        <v>361</v>
      </c>
      <c r="C32" s="414"/>
      <c r="D32" s="469">
        <f>D53/D51</f>
        <v>-17.235204002909605</v>
      </c>
      <c r="E32" s="458"/>
      <c r="F32" s="470">
        <f>F53/F51</f>
        <v>23.55</v>
      </c>
      <c r="G32" s="470">
        <f>G53/G51</f>
        <v>-11.45945945945946</v>
      </c>
      <c r="H32" s="470">
        <f>H53/H51</f>
        <v>-8.9711823784524078</v>
      </c>
      <c r="I32" s="470">
        <f>I53/I51</f>
        <v>8.8229885057471265</v>
      </c>
      <c r="J32" s="470">
        <f>J53/J51</f>
        <v>72.716240875912405</v>
      </c>
      <c r="K32" s="470">
        <f>K53/K51</f>
        <v>-14.244720803607397</v>
      </c>
      <c r="L32" s="570">
        <f>L53/L51</f>
        <v>-14.154399557277255</v>
      </c>
      <c r="N32" s="406"/>
      <c r="O32" s="804" t="s">
        <v>221</v>
      </c>
      <c r="P32" s="805"/>
      <c r="Q32" s="663">
        <f>SUM('Operating Model'!AI21:AJ21,'Operating Model'!AM21:AN21)</f>
        <v>12.073713445394404</v>
      </c>
    </row>
    <row r="33" spans="1:17" ht="16.5">
      <c r="A33" s="406"/>
      <c r="B33" s="430" t="s">
        <v>381</v>
      </c>
      <c r="C33" s="414"/>
      <c r="D33" s="453">
        <f>D41/D43</f>
        <v>0.76952269806492279</v>
      </c>
      <c r="E33" s="458"/>
      <c r="F33" s="458">
        <f>F41/F43</f>
        <v>0.59674215335717129</v>
      </c>
      <c r="G33" s="458">
        <f>G41/G43</f>
        <v>420.85714285714283</v>
      </c>
      <c r="H33" s="458">
        <f>H41/H43</f>
        <v>0.77320442926883992</v>
      </c>
      <c r="I33" s="458">
        <f>I41/I43</f>
        <v>-2.4327314689112138</v>
      </c>
      <c r="J33" s="458">
        <f>J41/J43</f>
        <v>0.3303796960827553</v>
      </c>
      <c r="K33" s="458">
        <f>K41/K43</f>
        <v>0.24854709028662569</v>
      </c>
      <c r="L33" s="567">
        <f>L41/L43</f>
        <v>30.527340823970036</v>
      </c>
      <c r="N33" s="406"/>
      <c r="O33" s="774" t="s">
        <v>239</v>
      </c>
      <c r="P33" s="775"/>
      <c r="Q33" s="664">
        <f>SUM('Operating Model'!AI11:AJ11,'Operating Model'!AM11:AN11)</f>
        <v>2162783.8826094624</v>
      </c>
    </row>
    <row r="34" spans="1:17" ht="17.25" thickBot="1">
      <c r="A34" s="406"/>
      <c r="B34" s="428" t="s">
        <v>362</v>
      </c>
      <c r="C34" s="429"/>
      <c r="D34" s="464">
        <f>D41/(D41+D43)</f>
        <v>0.43487585601837214</v>
      </c>
      <c r="E34" s="466"/>
      <c r="F34" s="466">
        <f>F41/(F41+F43)</f>
        <v>0.37372480716596168</v>
      </c>
      <c r="G34" s="466">
        <f>G41/(G41+G43)</f>
        <v>0.99762952929224513</v>
      </c>
      <c r="H34" s="466">
        <f>H41/(H41+H43)</f>
        <v>0.43604923183485489</v>
      </c>
      <c r="I34" s="466">
        <f>I41/(I41+I43)</f>
        <v>1.697967498934003</v>
      </c>
      <c r="J34" s="466">
        <f>J41/(J41+J43)</f>
        <v>0.24833489044935356</v>
      </c>
      <c r="K34" s="466">
        <f>K41/(K41+K43)</f>
        <v>0.19906905572105205</v>
      </c>
      <c r="L34" s="569">
        <f>L41/(L41+L43)</f>
        <v>0.96828149872888403</v>
      </c>
      <c r="N34" s="406"/>
      <c r="O34" s="772" t="s">
        <v>219</v>
      </c>
      <c r="P34" s="773"/>
      <c r="Q34" s="665">
        <f>SUM('Operating Model'!AI9:AJ9,'Operating Model'!AM9:AN9)</f>
        <v>2721701.7904882301</v>
      </c>
    </row>
    <row r="35" spans="1:17" ht="17.25" thickBot="1">
      <c r="A35" s="406"/>
      <c r="B35" s="677"/>
      <c r="C35" s="415"/>
      <c r="D35" s="677"/>
      <c r="E35" s="415"/>
      <c r="F35" s="415"/>
      <c r="G35" s="415"/>
      <c r="H35" s="415"/>
      <c r="I35" s="415"/>
      <c r="J35" s="415"/>
      <c r="K35" s="415"/>
      <c r="L35" s="415"/>
      <c r="N35" s="406"/>
      <c r="O35" s="774" t="s">
        <v>204</v>
      </c>
      <c r="P35" s="775"/>
      <c r="Q35" s="664">
        <f>SUM('Operating Model'!AI4:AJ4,'Operating Model'!AM4:AN4)</f>
        <v>17874884.25</v>
      </c>
    </row>
    <row r="36" spans="1:17" ht="16.5">
      <c r="A36" s="414"/>
      <c r="B36" s="477" t="s">
        <v>399</v>
      </c>
      <c r="C36" s="478"/>
      <c r="D36" s="478"/>
      <c r="E36" s="478"/>
      <c r="F36" s="478"/>
      <c r="G36" s="478"/>
      <c r="H36" s="478"/>
      <c r="I36" s="478"/>
      <c r="J36" s="478"/>
      <c r="K36" s="478"/>
      <c r="L36" s="481"/>
      <c r="N36" s="406"/>
      <c r="O36" s="772" t="s">
        <v>402</v>
      </c>
      <c r="P36" s="773"/>
      <c r="Q36" s="665">
        <f>SUM('Operating Model'!AI17:AJ17,'Operating Model'!AM17:AN17)</f>
        <v>1534100.0978916301</v>
      </c>
    </row>
    <row r="37" spans="1:17" ht="16.5">
      <c r="A37" s="574"/>
      <c r="B37" s="475" t="s">
        <v>262</v>
      </c>
      <c r="C37" s="475"/>
      <c r="D37" s="527">
        <f>Beta!C1386</f>
        <v>136</v>
      </c>
      <c r="E37" s="528"/>
      <c r="F37" s="669">
        <v>130.5</v>
      </c>
      <c r="G37" s="527">
        <v>57.38</v>
      </c>
      <c r="H37" s="527">
        <v>73.69</v>
      </c>
      <c r="I37" s="527">
        <v>223.12</v>
      </c>
      <c r="J37" s="527">
        <v>65.56</v>
      </c>
      <c r="K37" s="527">
        <v>80.33</v>
      </c>
      <c r="L37" s="826">
        <v>333.84</v>
      </c>
      <c r="N37" s="406"/>
      <c r="O37" s="774" t="s">
        <v>212</v>
      </c>
      <c r="P37" s="775"/>
      <c r="Q37" s="664">
        <f>SUM('Operating Model'!AI35:AJ35,'Operating Model'!AM35:AN35)</f>
        <v>3797807.9585592872</v>
      </c>
    </row>
    <row r="38" spans="1:17" ht="18.75">
      <c r="A38" s="414"/>
      <c r="B38" s="484" t="s">
        <v>265</v>
      </c>
      <c r="C38" s="475"/>
      <c r="D38" s="485">
        <f>'Operating Model'!AH23</f>
        <v>128066</v>
      </c>
      <c r="E38" s="523"/>
      <c r="F38" s="523">
        <v>91300</v>
      </c>
      <c r="G38" s="799">
        <v>226000</v>
      </c>
      <c r="H38" s="799">
        <v>41477</v>
      </c>
      <c r="I38" s="799">
        <v>585000</v>
      </c>
      <c r="J38" s="486">
        <v>108871</v>
      </c>
      <c r="K38" s="492">
        <v>111123</v>
      </c>
      <c r="L38" s="827">
        <v>1003000</v>
      </c>
      <c r="N38" s="406"/>
      <c r="O38" s="772" t="s">
        <v>403</v>
      </c>
      <c r="P38" s="773"/>
      <c r="Q38" s="665">
        <f>'Operating Model'!AN59+'Operating Model'!AH56</f>
        <v>3679028</v>
      </c>
    </row>
    <row r="39" spans="1:17" ht="17.25" thickBot="1">
      <c r="A39" s="414"/>
      <c r="B39" s="412" t="s">
        <v>363</v>
      </c>
      <c r="C39" s="412"/>
      <c r="D39" s="541">
        <f>D37*D38</f>
        <v>17416976</v>
      </c>
      <c r="E39" s="542">
        <f t="shared" ref="E39" si="4">E37*E38</f>
        <v>0</v>
      </c>
      <c r="F39" s="542">
        <f t="shared" ref="F39:J39" si="5">F37*F38</f>
        <v>11914650</v>
      </c>
      <c r="G39" s="542">
        <f t="shared" si="5"/>
        <v>12967880</v>
      </c>
      <c r="H39" s="542">
        <f t="shared" si="5"/>
        <v>3056440.13</v>
      </c>
      <c r="I39" s="542">
        <f>I37*I38</f>
        <v>130525200</v>
      </c>
      <c r="J39" s="542">
        <f t="shared" si="5"/>
        <v>7137582.7600000007</v>
      </c>
      <c r="K39" s="543">
        <f>K37*K38</f>
        <v>8926510.5899999999</v>
      </c>
      <c r="L39" s="828">
        <f>L37*L38</f>
        <v>334841520</v>
      </c>
      <c r="N39" s="406"/>
      <c r="O39" s="776" t="s">
        <v>404</v>
      </c>
      <c r="P39" s="777"/>
      <c r="Q39" s="666">
        <f>'Operating Model'!AN23</f>
        <v>126432.26129477844</v>
      </c>
    </row>
    <row r="40" spans="1:17" ht="16.5">
      <c r="A40" s="414"/>
      <c r="B40" s="484" t="s">
        <v>364</v>
      </c>
      <c r="C40" s="475"/>
      <c r="D40" s="489">
        <f>'Operating Model'!AI35</f>
        <v>383151.07783968444</v>
      </c>
      <c r="E40" s="672"/>
      <c r="F40" s="490">
        <v>968000</v>
      </c>
      <c r="G40" s="489">
        <v>380000</v>
      </c>
      <c r="H40" s="489">
        <v>81449</v>
      </c>
      <c r="I40" s="489">
        <v>3494000</v>
      </c>
      <c r="J40" s="489">
        <v>4226</v>
      </c>
      <c r="K40" s="489">
        <v>761945</v>
      </c>
      <c r="L40" s="829">
        <v>2814000</v>
      </c>
      <c r="N40" s="406"/>
    </row>
    <row r="41" spans="1:17" ht="18.75">
      <c r="A41" s="414"/>
      <c r="B41" s="484" t="s">
        <v>382</v>
      </c>
      <c r="C41" s="475"/>
      <c r="D41" s="492">
        <f>'Operating Model'!AI59</f>
        <v>3674714</v>
      </c>
      <c r="E41" s="522"/>
      <c r="F41" s="670">
        <v>3004000</v>
      </c>
      <c r="G41" s="492">
        <v>2946000</v>
      </c>
      <c r="H41" s="492">
        <v>1047542</v>
      </c>
      <c r="I41" s="492">
        <v>35839000</v>
      </c>
      <c r="J41" s="492">
        <v>206000</v>
      </c>
      <c r="K41" s="492">
        <v>1595727</v>
      </c>
      <c r="L41" s="830">
        <v>40754000</v>
      </c>
      <c r="N41" s="406"/>
      <c r="P41"/>
    </row>
    <row r="42" spans="1:17" ht="16.5">
      <c r="A42" s="414"/>
      <c r="B42" s="412" t="s">
        <v>258</v>
      </c>
      <c r="C42" s="412"/>
      <c r="D42" s="540">
        <f>D39-D40+D41</f>
        <v>20708538.922160316</v>
      </c>
      <c r="E42" s="543">
        <f t="shared" ref="E42" si="6">E39-E40+E41</f>
        <v>0</v>
      </c>
      <c r="F42" s="540">
        <f t="shared" ref="F42:J42" si="7">F39-F40+F41</f>
        <v>13950650</v>
      </c>
      <c r="G42" s="540">
        <f t="shared" si="7"/>
        <v>15533880</v>
      </c>
      <c r="H42" s="540">
        <f t="shared" si="7"/>
        <v>4022533.13</v>
      </c>
      <c r="I42" s="540">
        <f>I39-I40+I41</f>
        <v>162870200</v>
      </c>
      <c r="J42" s="540">
        <f t="shared" si="7"/>
        <v>7339356.7600000007</v>
      </c>
      <c r="K42" s="543">
        <f>K39-K40+K41</f>
        <v>9760292.5899999999</v>
      </c>
      <c r="L42" s="488">
        <f>L39-L40+L41</f>
        <v>372781520</v>
      </c>
      <c r="N42" s="406"/>
    </row>
    <row r="43" spans="1:17" ht="17.25" thickBot="1">
      <c r="A43" s="414"/>
      <c r="B43" s="531" t="s">
        <v>383</v>
      </c>
      <c r="C43" s="532"/>
      <c r="D43" s="533">
        <f>'Operating Model'!AI67</f>
        <v>4775315.9318634849</v>
      </c>
      <c r="E43" s="533"/>
      <c r="F43" s="534">
        <v>5034000</v>
      </c>
      <c r="G43" s="533">
        <v>7000</v>
      </c>
      <c r="H43" s="533">
        <v>1354806</v>
      </c>
      <c r="I43" s="533">
        <v>-14732000</v>
      </c>
      <c r="J43" s="533">
        <v>623525</v>
      </c>
      <c r="K43" s="533">
        <v>6420220</v>
      </c>
      <c r="L43" s="546">
        <v>1335000</v>
      </c>
      <c r="N43" s="406"/>
    </row>
    <row r="44" spans="1:17" ht="17.25" thickBot="1">
      <c r="A44" s="414"/>
      <c r="B44" s="415"/>
      <c r="C44" s="415"/>
      <c r="D44" s="538"/>
      <c r="E44" s="538"/>
      <c r="F44" s="538"/>
      <c r="G44" s="538"/>
      <c r="H44" s="538"/>
      <c r="I44" s="538"/>
      <c r="J44" s="538"/>
      <c r="K44" s="538"/>
      <c r="L44" s="538"/>
      <c r="N44" s="406"/>
      <c r="O44" s="406"/>
      <c r="P44" s="406"/>
      <c r="Q44" s="406"/>
    </row>
    <row r="45" spans="1:17" ht="16.5">
      <c r="A45" s="406"/>
      <c r="B45" s="477" t="s">
        <v>384</v>
      </c>
      <c r="C45" s="478"/>
      <c r="D45" s="535"/>
      <c r="E45" s="673"/>
      <c r="F45" s="673"/>
      <c r="G45" s="535"/>
      <c r="H45" s="535"/>
      <c r="I45" s="535"/>
      <c r="J45" s="535"/>
      <c r="K45" s="831"/>
      <c r="L45" s="832"/>
      <c r="N45" s="406"/>
      <c r="O45" s="406"/>
      <c r="P45" s="406"/>
      <c r="Q45" s="406"/>
    </row>
    <row r="46" spans="1:17" ht="16.5">
      <c r="A46" s="414"/>
      <c r="B46" s="406" t="s">
        <v>365</v>
      </c>
      <c r="C46" s="406"/>
      <c r="D46" s="413">
        <f>SUM('Operating Model'!AC4:AD4,'Operating Model'!AG4:AH4)</f>
        <v>18531232</v>
      </c>
      <c r="E46" s="413"/>
      <c r="F46" s="494">
        <f>9761000-4947000+4894000</f>
        <v>9708000</v>
      </c>
      <c r="G46" s="413">
        <f>8680000-4553000+4106000</f>
        <v>8233000</v>
      </c>
      <c r="H46" s="413">
        <f>5329252-1359553+1409600</f>
        <v>5379299</v>
      </c>
      <c r="I46" s="413">
        <f>97059000-51135000+47304000</f>
        <v>93228000</v>
      </c>
      <c r="J46" s="413">
        <f>1106043-725477+595256</f>
        <v>975822</v>
      </c>
      <c r="K46" s="413">
        <f>10275558-6563424+6974790</f>
        <v>10686924</v>
      </c>
      <c r="L46" s="821">
        <f>157403000-82700000+80173000</f>
        <v>154876000</v>
      </c>
      <c r="N46" s="406"/>
      <c r="O46" s="406"/>
      <c r="P46" s="406"/>
      <c r="Q46" s="406"/>
    </row>
    <row r="47" spans="1:17" ht="16.5">
      <c r="A47" s="414"/>
      <c r="B47" s="406" t="s">
        <v>385</v>
      </c>
      <c r="C47" s="406"/>
      <c r="D47" s="413">
        <f>SUM('Operating Model'!AC6:AD6,'Operating Model'!AG6:AH6)</f>
        <v>6466205</v>
      </c>
      <c r="E47" s="413"/>
      <c r="F47" s="493">
        <f>2616000-1353000+1341000</f>
        <v>2604000</v>
      </c>
      <c r="G47" s="413">
        <f>2713000-1473000+1438000</f>
        <v>2678000</v>
      </c>
      <c r="H47" s="413">
        <f>1725945-434721+450554</f>
        <v>1741778</v>
      </c>
      <c r="I47" s="413">
        <f>32257000-17183000+15926000</f>
        <v>31000000</v>
      </c>
      <c r="J47" s="413">
        <f>403989-292289+250876</f>
        <v>362576</v>
      </c>
      <c r="K47" s="413">
        <v>2798786</v>
      </c>
      <c r="L47" s="821">
        <f>52778000-27628000+26714000</f>
        <v>51864000</v>
      </c>
      <c r="N47" s="406"/>
      <c r="O47" s="406"/>
      <c r="P47" s="406"/>
      <c r="Q47" s="406"/>
    </row>
    <row r="48" spans="1:17" ht="16.5">
      <c r="A48" s="414"/>
      <c r="B48" s="406" t="s">
        <v>366</v>
      </c>
      <c r="C48" s="409"/>
      <c r="D48" s="497">
        <f>SUM('Operating Model'!AC11:AD11,'Operating Model'!AG11:AH11)</f>
        <v>2584788</v>
      </c>
      <c r="E48" s="413"/>
      <c r="F48" s="671">
        <f>1714000-927000+1021000</f>
        <v>1808000</v>
      </c>
      <c r="G48" s="497">
        <f>1193000-724000+659000</f>
        <v>1128000</v>
      </c>
      <c r="H48" s="497">
        <f>505211-134592+131740</f>
        <v>502359</v>
      </c>
      <c r="I48" s="497">
        <f>10159000-7531000+7173000</f>
        <v>9801000</v>
      </c>
      <c r="J48" s="497">
        <f>246838-212864+158425</f>
        <v>192399</v>
      </c>
      <c r="K48" s="413">
        <f>1703726-826581+1237405</f>
        <v>2114550</v>
      </c>
      <c r="L48" s="822">
        <f>24039000-13139000+12140000</f>
        <v>23040000</v>
      </c>
      <c r="N48" s="406"/>
      <c r="O48" s="406"/>
      <c r="P48" s="406"/>
      <c r="Q48" s="406"/>
    </row>
    <row r="49" spans="1:17" ht="16.5">
      <c r="A49" s="414"/>
      <c r="B49" s="406" t="s">
        <v>367</v>
      </c>
      <c r="C49" s="406"/>
      <c r="D49" s="413">
        <f>SUM('Operating Model'!AC17:AD17,'Operating Model'!AG17:AH17)</f>
        <v>1860925</v>
      </c>
      <c r="E49" s="413"/>
      <c r="F49" s="671">
        <f>1241000-650000+726000</f>
        <v>1317000</v>
      </c>
      <c r="G49" s="413">
        <f>844000-546000+499000</f>
        <v>797000</v>
      </c>
      <c r="H49" s="413">
        <f>332991-89470+86830</f>
        <v>330351</v>
      </c>
      <c r="I49" s="413">
        <f>6437000-5325000+4933000</f>
        <v>6045000</v>
      </c>
      <c r="J49" s="413">
        <f>184626-160127+118167</f>
        <v>142666</v>
      </c>
      <c r="K49" s="413">
        <f>1286500-645964+926535</f>
        <v>1567071</v>
      </c>
      <c r="L49" s="821">
        <f>17105000-9404000+8532000</f>
        <v>16233000</v>
      </c>
      <c r="N49" s="406"/>
      <c r="O49" s="406"/>
      <c r="P49" s="406"/>
      <c r="Q49" s="406"/>
    </row>
    <row r="50" spans="1:17" ht="16.5">
      <c r="A50" s="414"/>
      <c r="B50" s="406" t="s">
        <v>368</v>
      </c>
      <c r="C50" s="406"/>
      <c r="D50" s="508">
        <f>SUM('Operating Model'!AC21:AD21,'Operating Model'!AG21:AH21)</f>
        <v>13.076478707258209</v>
      </c>
      <c r="E50" s="498"/>
      <c r="F50" s="760">
        <f>12.7-6.52+7.94</f>
        <v>14.120000000000001</v>
      </c>
      <c r="G50" s="524">
        <f>3.63-2.15+2.07</f>
        <v>3.55</v>
      </c>
      <c r="H50" s="524">
        <f>7.82-2.07+2.09</f>
        <v>7.84</v>
      </c>
      <c r="I50" s="524">
        <f>10.17-8.16+8.32</f>
        <v>10.33</v>
      </c>
      <c r="J50" s="524">
        <f>1.65-1.4+1.09</f>
        <v>1.34</v>
      </c>
      <c r="K50" s="524">
        <f>10.9-5.41+8.28</f>
        <v>13.77</v>
      </c>
      <c r="L50" s="823">
        <f>16.69-9.13+8.46</f>
        <v>16.020000000000003</v>
      </c>
      <c r="N50" s="406"/>
      <c r="O50" s="406"/>
      <c r="P50" s="406"/>
      <c r="Q50" s="406"/>
    </row>
    <row r="51" spans="1:17" ht="16.5">
      <c r="A51" s="414"/>
      <c r="B51" s="406" t="s">
        <v>369</v>
      </c>
      <c r="C51" s="406"/>
      <c r="D51" s="413">
        <f>-SUM('Operating Model'!AC13:AD13,'Operating Model'!AG13:AH13)</f>
        <v>-181468</v>
      </c>
      <c r="E51" s="413"/>
      <c r="F51" s="671">
        <f>109000-54000+45000</f>
        <v>100000</v>
      </c>
      <c r="G51" s="413">
        <f>(108000-53000+56000)*-1</f>
        <v>-111000</v>
      </c>
      <c r="H51" s="413">
        <f>(65843-14661+18914)*-1</f>
        <v>-70096</v>
      </c>
      <c r="I51" s="413">
        <f>1123000-507000+689000</f>
        <v>1305000</v>
      </c>
      <c r="J51" s="413">
        <f>(103-104+3289)</f>
        <v>3288</v>
      </c>
      <c r="K51" s="413">
        <f>-164831--110567+-99642</f>
        <v>-153906</v>
      </c>
      <c r="L51" s="821">
        <f>(1617000-753000+943000)*-1</f>
        <v>-1807000</v>
      </c>
      <c r="N51" s="406"/>
      <c r="O51" s="406"/>
      <c r="P51" s="406"/>
      <c r="Q51" s="406"/>
    </row>
    <row r="52" spans="1:17" ht="16.5">
      <c r="A52" s="414"/>
      <c r="B52" s="406" t="s">
        <v>370</v>
      </c>
      <c r="C52" s="409"/>
      <c r="D52" s="500">
        <f>SUM('Operating Model'!AC10:AD10,'Operating Model'!AG10:AH10)</f>
        <v>542850</v>
      </c>
      <c r="E52" s="674"/>
      <c r="F52" s="411">
        <f>531000-270000+286000</f>
        <v>547000</v>
      </c>
      <c r="G52" s="500">
        <f>145000-71000+70000</f>
        <v>144000</v>
      </c>
      <c r="H52" s="500">
        <f>126907-32440+32018</f>
        <v>126485</v>
      </c>
      <c r="I52" s="500">
        <f>1766000-894000+841000</f>
        <v>1713000</v>
      </c>
      <c r="J52" s="500">
        <f>44298-21804+24198</f>
        <v>46692</v>
      </c>
      <c r="K52" s="500">
        <f>76816-53267+54249</f>
        <v>77798</v>
      </c>
      <c r="L52" s="824">
        <f>2455000-1222000+1304000</f>
        <v>2537000</v>
      </c>
      <c r="N52" s="406"/>
      <c r="O52" s="406"/>
      <c r="P52" s="406"/>
      <c r="Q52" s="406"/>
    </row>
    <row r="53" spans="1:17" ht="17.25" thickBot="1">
      <c r="A53" s="414"/>
      <c r="B53" s="517" t="s">
        <v>371</v>
      </c>
      <c r="C53" s="521"/>
      <c r="D53" s="518">
        <f>D48+D52</f>
        <v>3127638</v>
      </c>
      <c r="E53" s="675">
        <f t="shared" ref="E53" si="8">E48+E52</f>
        <v>0</v>
      </c>
      <c r="F53" s="518">
        <f t="shared" ref="F53:J53" si="9">F48+F52</f>
        <v>2355000</v>
      </c>
      <c r="G53" s="518">
        <f t="shared" si="9"/>
        <v>1272000</v>
      </c>
      <c r="H53" s="518">
        <f t="shared" si="9"/>
        <v>628844</v>
      </c>
      <c r="I53" s="518">
        <f>I48+I52</f>
        <v>11514000</v>
      </c>
      <c r="J53" s="518">
        <f t="shared" si="9"/>
        <v>239091</v>
      </c>
      <c r="K53" s="675">
        <f>K48+K52</f>
        <v>2192348</v>
      </c>
      <c r="L53" s="825">
        <f>L48+L52</f>
        <v>25577000</v>
      </c>
      <c r="N53" s="406"/>
      <c r="O53" s="406"/>
      <c r="P53" s="406"/>
      <c r="Q53" s="406"/>
    </row>
    <row r="55" spans="1:17" ht="10.5" hidden="1" customHeight="1" thickBot="1">
      <c r="B55" s="408" t="s">
        <v>400</v>
      </c>
    </row>
    <row r="56" spans="1:17" hidden="1">
      <c r="B56" s="408" t="s">
        <v>98</v>
      </c>
      <c r="G56" s="515"/>
      <c r="H56" s="515"/>
      <c r="I56" s="515"/>
      <c r="J56" s="515"/>
      <c r="K56" s="515"/>
      <c r="L56" s="515"/>
    </row>
    <row r="57" spans="1:17" ht="30" hidden="1">
      <c r="B57" s="408" t="s">
        <v>401</v>
      </c>
      <c r="D57" s="408" t="s">
        <v>398</v>
      </c>
    </row>
  </sheetData>
  <mergeCells count="11">
    <mergeCell ref="O39:P39"/>
    <mergeCell ref="O31:P31"/>
    <mergeCell ref="O32:P32"/>
    <mergeCell ref="O33:P33"/>
    <mergeCell ref="O34:P34"/>
    <mergeCell ref="O35:P35"/>
    <mergeCell ref="O36:P36"/>
    <mergeCell ref="O37:P37"/>
    <mergeCell ref="O38:P38"/>
    <mergeCell ref="F4:L4"/>
    <mergeCell ref="O30:Q30"/>
  </mergeCells>
  <conditionalFormatting sqref="D10:D11">
    <cfRule type="containsText" dxfId="21" priority="17" operator="containsText" text="&quot;&quot;">
      <formula>NOT(ISERROR(SEARCH("""""",D10)))</formula>
    </cfRule>
  </conditionalFormatting>
  <conditionalFormatting sqref="D37:D38 K38 D40:D41 D43 D46:D53 E53:F53 G37:L37 G40:L41 G43:L43 G46:L53">
    <cfRule type="cellIs" dxfId="20" priority="18" operator="lessThan">
      <formula>0</formula>
    </cfRule>
  </conditionalFormatting>
  <conditionalFormatting sqref="D37:F38 K38 G37:L37 D40:L41 D43:L43 D46:L53">
    <cfRule type="cellIs" dxfId="19" priority="19" operator="greaterThan">
      <formula>0</formula>
    </cfRule>
  </conditionalFormatting>
  <conditionalFormatting sqref="K10">
    <cfRule type="containsText" dxfId="18" priority="16" operator="containsText" text="&quot;&quot;">
      <formula>NOT(ISERROR(SEARCH("""""",K10)))</formula>
    </cfRule>
  </conditionalFormatting>
  <conditionalFormatting sqref="O10:O13">
    <cfRule type="cellIs" dxfId="17" priority="11" operator="greaterThan">
      <formula>#REF!</formula>
    </cfRule>
  </conditionalFormatting>
  <conditionalFormatting sqref="P11">
    <cfRule type="cellIs" dxfId="16" priority="6" operator="greaterThan">
      <formula>#REF!</formula>
    </cfRule>
  </conditionalFormatting>
  <conditionalFormatting sqref="P11:Q12">
    <cfRule type="cellIs" dxfId="15" priority="1" operator="greaterThan">
      <formula>#REF!</formula>
    </cfRule>
  </conditionalFormatting>
  <conditionalFormatting sqref="Q11:Q12">
    <cfRule type="cellIs" dxfId="14" priority="5" operator="greaterThan">
      <formula>#REF!</formula>
    </cfRule>
  </conditionalFormatting>
  <conditionalFormatting sqref="O10:Q13">
    <cfRule type="cellIs" dxfId="13" priority="24" operator="lessThan">
      <formula>$Q$31</formula>
    </cfRule>
    <cfRule type="cellIs" dxfId="12" priority="25" operator="greaterThan">
      <formula>$Q$31</formula>
    </cfRule>
  </conditionalFormatting>
  <dataValidations disablePrompts="1" count="1">
    <dataValidation type="list" allowBlank="1" showInputMessage="1" showErrorMessage="1" sqref="D13 F13:H13 I13:L13" xr:uid="{2B787738-1EE2-4E85-B2D4-9D3EE914E429}">
      <formula1>"Thousands,Millions"</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D029-5534-42F3-AC7D-014561867763}">
  <sheetPr>
    <tabColor rgb="FF002060"/>
  </sheetPr>
  <dimension ref="B1:T26"/>
  <sheetViews>
    <sheetView showGridLines="0" zoomScale="90" zoomScaleNormal="90" workbookViewId="0"/>
  </sheetViews>
  <sheetFormatPr defaultColWidth="9.140625" defaultRowHeight="16.5"/>
  <cols>
    <col min="1" max="1" width="1.7109375" style="18" customWidth="1"/>
    <col min="2" max="2" width="23.140625" style="18" bestFit="1" customWidth="1"/>
    <col min="3" max="4" width="12.7109375" style="18" bestFit="1" customWidth="1"/>
    <col min="5" max="5" width="11.42578125" style="18" bestFit="1" customWidth="1"/>
    <col min="6" max="6" width="14.28515625" style="18" bestFit="1" customWidth="1"/>
    <col min="7" max="7" width="11.42578125" style="18" bestFit="1" customWidth="1"/>
    <col min="8" max="14" width="12.7109375" style="18" bestFit="1" customWidth="1"/>
    <col min="15" max="15" width="13.42578125" style="18" bestFit="1" customWidth="1"/>
    <col min="16" max="16" width="5.7109375" style="18" customWidth="1"/>
    <col min="17" max="19" width="13.28515625" style="18" customWidth="1"/>
    <col min="20" max="36" width="9.140625" style="18"/>
    <col min="37" max="37" width="21.7109375" style="18" bestFit="1" customWidth="1"/>
    <col min="38" max="41" width="12.7109375" style="18" bestFit="1" customWidth="1"/>
    <col min="42" max="42" width="13.28515625" style="18" bestFit="1" customWidth="1"/>
    <col min="43" max="46" width="8.42578125" style="18" bestFit="1" customWidth="1"/>
    <col min="47" max="47" width="6.42578125" style="18" bestFit="1" customWidth="1"/>
    <col min="48" max="48" width="13.28515625" style="18" bestFit="1" customWidth="1"/>
    <col min="49" max="49" width="8.42578125" style="18" bestFit="1" customWidth="1"/>
    <col min="50" max="50" width="14" style="18" bestFit="1" customWidth="1"/>
    <col min="51" max="52" width="8.42578125" style="18" bestFit="1" customWidth="1"/>
    <col min="53" max="53" width="6.42578125" style="18" bestFit="1" customWidth="1"/>
    <col min="54" max="55" width="9.140625" style="18"/>
    <col min="56" max="56" width="14" style="18" bestFit="1" customWidth="1"/>
    <col min="57" max="57" width="8.42578125" style="18" bestFit="1" customWidth="1"/>
    <col min="58" max="16384" width="9.140625" style="18"/>
  </cols>
  <sheetData>
    <row r="1" spans="2:20" ht="9.9499999999999993" customHeight="1"/>
    <row r="2" spans="2:20">
      <c r="B2" s="396" t="s">
        <v>411</v>
      </c>
      <c r="C2" s="202"/>
      <c r="D2" s="202"/>
      <c r="E2" s="202"/>
      <c r="F2" s="202"/>
      <c r="G2" s="202"/>
      <c r="H2" s="202"/>
      <c r="I2" s="202"/>
      <c r="J2" s="202"/>
      <c r="K2" s="202"/>
      <c r="L2" s="202"/>
      <c r="M2" s="202"/>
      <c r="N2" s="202"/>
      <c r="O2" s="202"/>
      <c r="P2" s="202"/>
      <c r="Q2" s="202"/>
      <c r="R2" s="202"/>
      <c r="S2" s="202"/>
      <c r="T2" s="202"/>
    </row>
    <row r="3" spans="2:20" ht="9.9499999999999993" customHeight="1">
      <c r="B3" s="21"/>
      <c r="C3" s="21"/>
      <c r="D3" s="21"/>
      <c r="E3" s="21"/>
      <c r="F3" s="21"/>
      <c r="G3" s="21"/>
      <c r="H3" s="21"/>
      <c r="I3" s="21"/>
      <c r="J3" s="21"/>
      <c r="K3" s="21"/>
      <c r="L3" s="21"/>
      <c r="M3" s="21"/>
      <c r="N3" s="21"/>
      <c r="O3" s="21"/>
      <c r="P3" s="21"/>
      <c r="Q3" s="21"/>
      <c r="R3" s="21"/>
      <c r="S3" s="21"/>
      <c r="T3" s="21"/>
    </row>
    <row r="4" spans="2:20" ht="17.25" thickBot="1">
      <c r="B4" s="21"/>
      <c r="C4" s="21"/>
      <c r="D4" s="21"/>
      <c r="E4" s="361" t="s">
        <v>412</v>
      </c>
      <c r="F4" s="361" t="s">
        <v>413</v>
      </c>
      <c r="G4" s="361" t="s">
        <v>414</v>
      </c>
      <c r="H4" s="361" t="s">
        <v>280</v>
      </c>
      <c r="I4" s="361" t="s">
        <v>279</v>
      </c>
      <c r="J4" s="361" t="s">
        <v>397</v>
      </c>
      <c r="K4" s="361" t="s">
        <v>278</v>
      </c>
      <c r="L4" s="361" t="s">
        <v>277</v>
      </c>
      <c r="M4" s="361" t="s">
        <v>276</v>
      </c>
      <c r="N4" s="361" t="s">
        <v>415</v>
      </c>
      <c r="O4" s="361" t="s">
        <v>416</v>
      </c>
      <c r="P4" s="21"/>
      <c r="Q4" s="361" t="s">
        <v>352</v>
      </c>
      <c r="R4" s="361" t="s">
        <v>195</v>
      </c>
      <c r="S4" s="361" t="s">
        <v>353</v>
      </c>
      <c r="T4" s="21"/>
    </row>
    <row r="5" spans="2:20">
      <c r="B5" s="21" t="s">
        <v>210</v>
      </c>
      <c r="C5" s="21"/>
      <c r="D5" s="21"/>
      <c r="E5" s="363">
        <f t="shared" ref="E5:J5" si="0">E12/E19</f>
        <v>12.498661625832099</v>
      </c>
      <c r="F5" s="363">
        <f t="shared" si="0"/>
        <v>5.7527848988360839</v>
      </c>
      <c r="G5" s="363">
        <f t="shared" si="0"/>
        <v>9.5502441733132244</v>
      </c>
      <c r="H5" s="363">
        <f t="shared" si="0"/>
        <v>4.6992830073734435</v>
      </c>
      <c r="I5" s="363">
        <f t="shared" si="0"/>
        <v>4.9644221503326769</v>
      </c>
      <c r="J5" s="363">
        <f t="shared" si="0"/>
        <v>9.6119148597882624</v>
      </c>
      <c r="K5" s="363">
        <f t="shared" ref="K5:O5" si="1">K12/K19</f>
        <v>11.908453307774106</v>
      </c>
      <c r="L5" s="363">
        <f t="shared" si="1"/>
        <v>17.490195265914977</v>
      </c>
      <c r="M5" s="363">
        <f t="shared" si="1"/>
        <v>15.529577358963268</v>
      </c>
      <c r="N5" s="363">
        <f t="shared" si="1"/>
        <v>12.940342513257491</v>
      </c>
      <c r="O5" s="363">
        <f t="shared" si="1"/>
        <v>12.877677558667028</v>
      </c>
      <c r="P5" s="21"/>
      <c r="Q5" s="657">
        <f>MAX(E5:H5,J5)*S16</f>
        <v>150.9052589212441</v>
      </c>
      <c r="R5" s="658">
        <f>MEDIAN(E5:H5,J5)*S16</f>
        <v>115.30691148213144</v>
      </c>
      <c r="S5" s="667">
        <f>MIN(E5:H5,J5)*S16</f>
        <v>56.737796429838191</v>
      </c>
      <c r="T5" s="21"/>
    </row>
    <row r="6" spans="2:20">
      <c r="B6" s="21" t="s">
        <v>355</v>
      </c>
      <c r="C6" s="21"/>
      <c r="D6" s="21"/>
      <c r="E6" s="363">
        <f t="shared" ref="E6:J6" si="2">E18/E21</f>
        <v>11.111505604822099</v>
      </c>
      <c r="F6" s="363">
        <f t="shared" si="2"/>
        <v>6.4746518024195394</v>
      </c>
      <c r="G6" s="363">
        <f t="shared" si="2"/>
        <v>7.6663405436017769</v>
      </c>
      <c r="H6" s="363">
        <f t="shared" si="2"/>
        <v>4.6023368731067462</v>
      </c>
      <c r="I6" s="363">
        <f t="shared" si="2"/>
        <v>4.3887324361156921</v>
      </c>
      <c r="J6" s="363">
        <f t="shared" si="2"/>
        <v>7.6128872232461617</v>
      </c>
      <c r="K6" s="363">
        <f t="shared" ref="K6:O6" si="3">K18/K21</f>
        <v>9.4896784513893344</v>
      </c>
      <c r="L6" s="363">
        <f t="shared" si="3"/>
        <v>13.112373009057702</v>
      </c>
      <c r="M6" s="363">
        <f t="shared" si="3"/>
        <v>11.342906031223851</v>
      </c>
      <c r="N6" s="363">
        <f t="shared" si="3"/>
        <v>8.9736312333869339</v>
      </c>
      <c r="O6" s="363">
        <f t="shared" si="3"/>
        <v>8.325708541352979</v>
      </c>
      <c r="P6" s="21"/>
      <c r="Q6" s="660">
        <f>((MAX(E6:H6,J6)*S17)-S21)/S22</f>
        <v>189.13689457251087</v>
      </c>
      <c r="R6" s="586">
        <f>((MEDIAN(E6:H6,J6)*S17)-S21)/S22</f>
        <v>129.28859818373036</v>
      </c>
      <c r="S6" s="668">
        <f>((MIN(E6:H6,J6)*S17)-S21)/S22</f>
        <v>77.789323327885413</v>
      </c>
      <c r="T6" s="21"/>
    </row>
    <row r="7" spans="2:20">
      <c r="B7" s="21" t="s">
        <v>207</v>
      </c>
      <c r="C7" s="21"/>
      <c r="D7" s="21"/>
      <c r="E7" s="363">
        <f t="shared" ref="E7:O7" si="4">E18/E22</f>
        <v>8.781362851647339</v>
      </c>
      <c r="F7" s="363">
        <f t="shared" si="4"/>
        <v>5.1590854158880779</v>
      </c>
      <c r="G7" s="363">
        <f t="shared" si="4"/>
        <v>6.3132097301717103</v>
      </c>
      <c r="H7" s="363">
        <f t="shared" si="4"/>
        <v>3.7439755221318425</v>
      </c>
      <c r="I7" s="363">
        <f t="shared" si="4"/>
        <v>3.8774510815476408</v>
      </c>
      <c r="J7" s="363">
        <f t="shared" si="4"/>
        <v>6.2915527756089418</v>
      </c>
      <c r="K7" s="363">
        <f t="shared" si="4"/>
        <v>7.6222484536847537</v>
      </c>
      <c r="L7" s="363">
        <f t="shared" si="4"/>
        <v>10.136841359464189</v>
      </c>
      <c r="M7" s="363">
        <f t="shared" si="4"/>
        <v>9.4077870917423567</v>
      </c>
      <c r="N7" s="363">
        <f t="shared" si="4"/>
        <v>7.5746279901780103</v>
      </c>
      <c r="O7" s="363">
        <f t="shared" si="4"/>
        <v>6.9451130736731566</v>
      </c>
      <c r="P7" s="21"/>
      <c r="Q7" s="660">
        <f>((MAX(E7:H7,J7)*S18)-S21)/S22</f>
        <v>188.09654113714936</v>
      </c>
      <c r="R7" s="586">
        <f>((MEDIAN(E7:H7,J7)*S18)-S21)/S22</f>
        <v>134.49850790946076</v>
      </c>
      <c r="S7" s="668">
        <f>((MIN(E7:H7,J7)*S18)-S21)/S22</f>
        <v>79.656923165282237</v>
      </c>
      <c r="T7" s="21"/>
    </row>
    <row r="8" spans="2:20">
      <c r="B8" s="18" t="s">
        <v>193</v>
      </c>
      <c r="E8" s="363">
        <f t="shared" ref="E8:J8" si="5">E20/E18</f>
        <v>1.8841869949436434</v>
      </c>
      <c r="F8" s="363">
        <f t="shared" si="5"/>
        <v>2.8662609192219941</v>
      </c>
      <c r="G8" s="363">
        <f t="shared" si="5"/>
        <v>2.0527979194899797</v>
      </c>
      <c r="H8" s="363">
        <f t="shared" si="5"/>
        <v>1.8105520332872018</v>
      </c>
      <c r="I8" s="363">
        <f t="shared" si="5"/>
        <v>1.3734941234356932</v>
      </c>
      <c r="J8" s="363">
        <f t="shared" si="5"/>
        <v>0.94173772509995346</v>
      </c>
      <c r="K8" s="363">
        <f t="shared" ref="K8:O8" si="6">K20/K18</f>
        <v>0.81097466805837592</v>
      </c>
      <c r="L8" s="363">
        <f t="shared" si="6"/>
        <v>0.71029969344530397</v>
      </c>
      <c r="M8" s="363">
        <f t="shared" si="6"/>
        <v>0.77336677022681977</v>
      </c>
      <c r="N8" s="363">
        <f t="shared" si="6"/>
        <v>0.82039675153904978</v>
      </c>
      <c r="O8" s="363">
        <f t="shared" si="6"/>
        <v>0.88597277750497749</v>
      </c>
      <c r="P8" s="21"/>
      <c r="Q8" s="660">
        <f>((MAX(E8:H8,J8)*S15)-S21)/S22</f>
        <v>404.29002597411807</v>
      </c>
      <c r="R8" s="586">
        <f>((MEDIAN(E8:H8,J8)*S15)-S21)/S22</f>
        <v>265.44526007619316</v>
      </c>
      <c r="S8" s="668">
        <f>((MIN(E8:H8,J8)*S15)-S21)/S22</f>
        <v>132.20259370739424</v>
      </c>
      <c r="T8" s="21"/>
    </row>
    <row r="9" spans="2:20" ht="17.25" thickBot="1">
      <c r="B9" s="21" t="s">
        <v>492</v>
      </c>
      <c r="C9" s="21"/>
      <c r="D9" s="21"/>
      <c r="E9" s="363">
        <f t="shared" ref="E9:O9" si="7">E20/E14</f>
        <v>3.0125603114904211</v>
      </c>
      <c r="F9" s="363">
        <f t="shared" si="7"/>
        <v>5.702347634243468</v>
      </c>
      <c r="G9" s="363">
        <f t="shared" si="7"/>
        <v>2.8565086688404553</v>
      </c>
      <c r="H9" s="363">
        <f t="shared" si="7"/>
        <v>2.4547555845154809</v>
      </c>
      <c r="I9" s="363">
        <f t="shared" si="7"/>
        <v>1.6650575700717172</v>
      </c>
      <c r="J9" s="363">
        <f t="shared" si="7"/>
        <v>1.1512502087131293</v>
      </c>
      <c r="K9" s="363">
        <f t="shared" si="7"/>
        <v>0.92597085195661688</v>
      </c>
      <c r="L9" s="363">
        <f t="shared" si="7"/>
        <v>0.75572624692038215</v>
      </c>
      <c r="M9" s="363">
        <f t="shared" si="7"/>
        <v>0.78266900260662753</v>
      </c>
      <c r="N9" s="363">
        <f t="shared" si="7"/>
        <v>0.77462758455735536</v>
      </c>
      <c r="O9" s="363">
        <f t="shared" si="7"/>
        <v>0.77627727121853241</v>
      </c>
      <c r="P9" s="21"/>
      <c r="Q9" s="660">
        <f>((MAX(E9:H9,J9)*S15)/S22)</f>
        <v>806.19299909312713</v>
      </c>
      <c r="R9" s="586">
        <f>((MEDIAN(E9:H9,J9)*S15)/S22)</f>
        <v>403.85073628951574</v>
      </c>
      <c r="S9" s="668">
        <f>((MIN(E9:H9,J9)*S15)/S22)</f>
        <v>162.76276333899125</v>
      </c>
      <c r="T9" s="21"/>
    </row>
    <row r="10" spans="2:20" ht="17.25" thickBot="1">
      <c r="B10" s="587" t="s">
        <v>417</v>
      </c>
      <c r="C10" s="587"/>
      <c r="D10" s="392"/>
      <c r="E10" s="392"/>
      <c r="F10" s="392"/>
      <c r="G10" s="392"/>
      <c r="H10" s="392"/>
      <c r="I10" s="392"/>
      <c r="J10" s="392"/>
      <c r="K10" s="392"/>
      <c r="L10" s="392"/>
      <c r="M10" s="392"/>
      <c r="N10" s="392"/>
      <c r="O10" s="392"/>
      <c r="P10" s="21"/>
      <c r="Q10" s="397" t="s">
        <v>315</v>
      </c>
      <c r="R10" s="590"/>
      <c r="S10" s="510">
        <f>AVERAGE(R5:R8)</f>
        <v>161.13481941287893</v>
      </c>
      <c r="T10" s="21"/>
    </row>
    <row r="11" spans="2:20" ht="17.25" thickBot="1">
      <c r="B11" s="21"/>
      <c r="C11" s="21"/>
      <c r="D11" s="21"/>
      <c r="E11" s="21"/>
      <c r="F11" s="21"/>
      <c r="G11" s="21"/>
      <c r="H11" s="21"/>
      <c r="I11" s="21"/>
      <c r="J11" s="21"/>
      <c r="K11" s="21"/>
      <c r="L11" s="21"/>
      <c r="M11" s="21"/>
      <c r="N11" s="21"/>
      <c r="O11" s="21"/>
      <c r="P11" s="21"/>
      <c r="Q11" s="511" t="s">
        <v>316</v>
      </c>
      <c r="R11" s="591"/>
      <c r="S11" s="592">
        <f>(S10-S14)/S14</f>
        <v>0.28200190478859838</v>
      </c>
      <c r="T11" s="21"/>
    </row>
    <row r="12" spans="2:20">
      <c r="B12" s="21" t="s">
        <v>220</v>
      </c>
      <c r="C12" s="21"/>
      <c r="D12" s="21"/>
      <c r="E12" s="114">
        <f>Beta!C4</f>
        <v>22</v>
      </c>
      <c r="F12" s="114">
        <f>Beta!C254</f>
        <v>10.91</v>
      </c>
      <c r="G12" s="114">
        <f>Beta!C507</f>
        <v>25.41</v>
      </c>
      <c r="H12" s="114">
        <f>Beta!C760</f>
        <v>39.830002</v>
      </c>
      <c r="I12" s="114">
        <f>Beta!C1012</f>
        <v>83.489998</v>
      </c>
      <c r="J12" s="114">
        <f>S14</f>
        <v>125.69</v>
      </c>
      <c r="K12" s="114">
        <f>'Share Repurchase'!L8</f>
        <v>147.05311735102498</v>
      </c>
      <c r="L12" s="114">
        <f>'Share Repurchase'!Q8</f>
        <v>201.28956157399995</v>
      </c>
      <c r="M12" s="114">
        <f>'Share Repurchase'!V8</f>
        <v>217.8822949199978</v>
      </c>
      <c r="N12" s="114">
        <f>'Share Repurchase'!AA8</f>
        <v>235.84280311601026</v>
      </c>
      <c r="O12" s="114">
        <f>'Share Repurchase'!AF8</f>
        <v>255.28383479731772</v>
      </c>
      <c r="P12" s="21"/>
      <c r="Q12" s="21"/>
      <c r="R12" s="21"/>
      <c r="S12" s="21"/>
      <c r="T12" s="21"/>
    </row>
    <row r="13" spans="2:20" ht="18.75">
      <c r="B13" s="21" t="s">
        <v>217</v>
      </c>
      <c r="C13" s="21"/>
      <c r="D13" s="21"/>
      <c r="E13" s="589">
        <f>'Operating Model'!G23</f>
        <v>116554</v>
      </c>
      <c r="F13" s="589">
        <f>'Operating Model'!M23</f>
        <v>117025</v>
      </c>
      <c r="G13" s="589">
        <f>'Operating Model'!S23</f>
        <v>117917</v>
      </c>
      <c r="H13" s="589">
        <f>'Operating Model'!Y23</f>
        <v>203470</v>
      </c>
      <c r="I13" s="589">
        <f>'Operating Model'!AE23</f>
        <v>163481</v>
      </c>
      <c r="J13" s="589">
        <f>'Operating Model'!AH23</f>
        <v>128066</v>
      </c>
      <c r="K13" s="589">
        <f>'Operating Model'!AK23</f>
        <v>127185.14781984891</v>
      </c>
      <c r="L13" s="589">
        <f>'Operating Model'!AQ23</f>
        <v>125788.7502353684</v>
      </c>
      <c r="M13" s="589">
        <f>'Operating Model'!AW23</f>
        <v>125788.7502353684</v>
      </c>
      <c r="N13" s="589">
        <f>'Operating Model'!BC23</f>
        <v>125788.7502353684</v>
      </c>
      <c r="O13" s="589">
        <f>'Operating Model'!BI23</f>
        <v>125788.7502353684</v>
      </c>
      <c r="P13" s="21"/>
      <c r="Q13" s="588" t="s">
        <v>396</v>
      </c>
      <c r="R13" s="359"/>
      <c r="S13" s="359"/>
      <c r="T13" s="21"/>
    </row>
    <row r="14" spans="2:20">
      <c r="B14" s="148" t="s">
        <v>266</v>
      </c>
      <c r="C14" s="21"/>
      <c r="D14" s="21"/>
      <c r="E14" s="184">
        <f t="shared" ref="E14:O14" si="8">E12*E13</f>
        <v>2564188</v>
      </c>
      <c r="F14" s="184">
        <f t="shared" si="8"/>
        <v>1276742.75</v>
      </c>
      <c r="G14" s="184">
        <f t="shared" si="8"/>
        <v>2996270.97</v>
      </c>
      <c r="H14" s="184">
        <f t="shared" si="8"/>
        <v>8104210.5069399998</v>
      </c>
      <c r="I14" s="184">
        <f t="shared" si="8"/>
        <v>13649028.363038</v>
      </c>
      <c r="J14" s="184">
        <f t="shared" si="8"/>
        <v>16096615.539999999</v>
      </c>
      <c r="K14" s="184">
        <f t="shared" si="8"/>
        <v>18702972.467659701</v>
      </c>
      <c r="L14" s="184">
        <f t="shared" si="8"/>
        <v>25319962.385818686</v>
      </c>
      <c r="M14" s="184">
        <f t="shared" si="8"/>
        <v>27407141.576400481</v>
      </c>
      <c r="N14" s="184">
        <f t="shared" si="8"/>
        <v>29666371.455968976</v>
      </c>
      <c r="O14" s="184">
        <f t="shared" si="8"/>
        <v>32111834.534446847</v>
      </c>
      <c r="P14" s="21"/>
      <c r="Q14" s="656" t="s">
        <v>220</v>
      </c>
      <c r="R14" s="655"/>
      <c r="S14" s="114">
        <f>'Tear Sheet'!H10</f>
        <v>125.69</v>
      </c>
      <c r="T14" s="21"/>
    </row>
    <row r="15" spans="2:20">
      <c r="B15" s="390" t="s">
        <v>418</v>
      </c>
      <c r="C15" s="21"/>
      <c r="D15" s="21"/>
      <c r="E15" s="190">
        <f>'Operating Model'!G59</f>
        <v>1545729</v>
      </c>
      <c r="F15" s="190">
        <f>'Operating Model'!M59</f>
        <v>1277398</v>
      </c>
      <c r="G15" s="190">
        <f>'Operating Model'!S59</f>
        <v>1596905</v>
      </c>
      <c r="H15" s="190">
        <f>'Operating Model'!Y59</f>
        <v>2926122</v>
      </c>
      <c r="I15" s="190">
        <f>'Operating Model'!AE59</f>
        <v>2977842</v>
      </c>
      <c r="J15" s="190">
        <f>'Operating Model'!AH59</f>
        <v>3670400</v>
      </c>
      <c r="K15" s="190">
        <f>'Operating Model'!AK59</f>
        <v>3674714</v>
      </c>
      <c r="L15" s="190">
        <f>'Operating Model'!AQ59</f>
        <v>3674714</v>
      </c>
      <c r="M15" s="190">
        <f>'Operating Model'!AW59</f>
        <v>3674714</v>
      </c>
      <c r="N15" s="190">
        <f>'Operating Model'!BC59</f>
        <v>3674714</v>
      </c>
      <c r="O15" s="190">
        <f>'Operating Model'!BI59</f>
        <v>3674714</v>
      </c>
      <c r="P15" s="21"/>
      <c r="Q15" s="147" t="s">
        <v>204</v>
      </c>
      <c r="R15" s="21"/>
      <c r="S15" s="613">
        <f>SUM('Operating Model'!AI4:AJ4,'Operating Model'!AM4:AN4)</f>
        <v>17874884.25</v>
      </c>
      <c r="T15" s="21"/>
    </row>
    <row r="16" spans="2:20">
      <c r="B16" s="390" t="s">
        <v>419</v>
      </c>
      <c r="C16" s="21"/>
      <c r="D16" s="21"/>
      <c r="E16" s="190">
        <f>'Operating Model'!G56</f>
        <v>15565</v>
      </c>
      <c r="F16" s="190">
        <f>'Operating Model'!M56</f>
        <v>13875</v>
      </c>
      <c r="G16" s="190">
        <f>'Operating Model'!S56</f>
        <v>27335</v>
      </c>
      <c r="H16" s="40">
        <f>'Operating Model'!Y56</f>
        <v>3660</v>
      </c>
      <c r="I16" s="190">
        <f>'Operating Model'!AE56</f>
        <v>6355</v>
      </c>
      <c r="J16" s="190">
        <f>'Operating Model'!AH56</f>
        <v>4314</v>
      </c>
      <c r="K16" s="190">
        <f>'Operating Model'!AK56</f>
        <v>4319.0704544463815</v>
      </c>
      <c r="L16" s="190">
        <f>'Operating Model'!AQ56</f>
        <v>4319.0704544463815</v>
      </c>
      <c r="M16" s="190">
        <f>'Operating Model'!AW56</f>
        <v>4319.0704544463815</v>
      </c>
      <c r="N16" s="190">
        <f>'Operating Model'!BC56</f>
        <v>4319.0704544463815</v>
      </c>
      <c r="O16" s="190">
        <f>'Operating Model'!BI56</f>
        <v>4319.0704544463815</v>
      </c>
      <c r="P16" s="21"/>
      <c r="Q16" s="147" t="s">
        <v>221</v>
      </c>
      <c r="R16" s="21"/>
      <c r="S16" s="114">
        <f>SUM('Operating Model'!AI21:AJ21,'Operating Model'!AM21:AN21)</f>
        <v>12.073713445394404</v>
      </c>
      <c r="T16" s="21"/>
    </row>
    <row r="17" spans="2:20" ht="18.75">
      <c r="B17" s="390" t="s">
        <v>364</v>
      </c>
      <c r="C17" s="21"/>
      <c r="D17" s="21"/>
      <c r="E17" s="589">
        <f>'Operating Model'!G35</f>
        <v>10127</v>
      </c>
      <c r="F17" s="589">
        <f>'Operating Model'!M35</f>
        <v>14096</v>
      </c>
      <c r="G17" s="589">
        <f>'Operating Model'!S35</f>
        <v>423806</v>
      </c>
      <c r="H17" s="589">
        <f>'Operating Model'!Y35</f>
        <v>42603</v>
      </c>
      <c r="I17" s="589">
        <f>'Operating Model'!AE35</f>
        <v>80445</v>
      </c>
      <c r="J17" s="589">
        <f>'Operating Model'!AH35</f>
        <v>89316</v>
      </c>
      <c r="K17" s="589">
        <f>'Operating Model'!AK35</f>
        <v>1022633.0583300516</v>
      </c>
      <c r="L17" s="589">
        <f>'Operating Model'!AQ35</f>
        <v>2055399.4544349737</v>
      </c>
      <c r="M17" s="589">
        <f>'Operating Model'!AW35</f>
        <v>3345054.6331575434</v>
      </c>
      <c r="N17" s="589">
        <f>'Operating Model'!BC35</f>
        <v>5329773.0995905343</v>
      </c>
      <c r="O17" s="589">
        <f>'Operating Model'!BI35</f>
        <v>7650596.8222269071</v>
      </c>
      <c r="P17" s="21"/>
      <c r="Q17" s="147" t="s">
        <v>108</v>
      </c>
      <c r="R17" s="21"/>
      <c r="S17" s="190">
        <f>'Comparable Valuation'!Q33</f>
        <v>2162783.8826094624</v>
      </c>
      <c r="T17" s="21"/>
    </row>
    <row r="18" spans="2:20">
      <c r="B18" s="148" t="s">
        <v>209</v>
      </c>
      <c r="C18" s="21"/>
      <c r="D18" s="21"/>
      <c r="E18" s="184">
        <f t="shared" ref="E18:O18" si="9">E14+E15-E17</f>
        <v>4099790</v>
      </c>
      <c r="F18" s="184">
        <f t="shared" si="9"/>
        <v>2540044.75</v>
      </c>
      <c r="G18" s="184">
        <f t="shared" si="9"/>
        <v>4169369.9700000007</v>
      </c>
      <c r="H18" s="184">
        <f t="shared" si="9"/>
        <v>10987729.50694</v>
      </c>
      <c r="I18" s="184">
        <f t="shared" si="9"/>
        <v>16546425.363038</v>
      </c>
      <c r="J18" s="184">
        <f t="shared" si="9"/>
        <v>19677699.539999999</v>
      </c>
      <c r="K18" s="184">
        <f>K14+K15-K17</f>
        <v>21355053.409329649</v>
      </c>
      <c r="L18" s="184">
        <f t="shared" si="9"/>
        <v>26939276.931383714</v>
      </c>
      <c r="M18" s="184">
        <f t="shared" si="9"/>
        <v>27736800.943242937</v>
      </c>
      <c r="N18" s="184">
        <f t="shared" si="9"/>
        <v>28011312.356378444</v>
      </c>
      <c r="O18" s="184">
        <f t="shared" si="9"/>
        <v>28135951.712219942</v>
      </c>
      <c r="P18" s="21"/>
      <c r="Q18" s="147" t="s">
        <v>219</v>
      </c>
      <c r="R18" s="21"/>
      <c r="S18" s="190">
        <f>'Comparable Valuation'!Q34</f>
        <v>2721701.7904882301</v>
      </c>
      <c r="T18" s="21"/>
    </row>
    <row r="19" spans="2:20">
      <c r="B19" s="21" t="s">
        <v>221</v>
      </c>
      <c r="C19" s="21"/>
      <c r="D19" s="21"/>
      <c r="E19" s="114">
        <f>'Operating Model'!G21</f>
        <v>1.7601884632615892</v>
      </c>
      <c r="F19" s="114">
        <f>'Operating Model'!M21</f>
        <v>1.8964727852430803</v>
      </c>
      <c r="G19" s="114">
        <f>'Operating Model'!S21</f>
        <v>2.6606649567143603</v>
      </c>
      <c r="H19" s="114">
        <f>'Operating Model'!Y21</f>
        <v>8.4757615018087762</v>
      </c>
      <c r="I19" s="114">
        <f>'Operating Model'!AE21</f>
        <v>16.817666884836768</v>
      </c>
      <c r="J19" s="114">
        <f>SUM('Operating Model'!AC21:AD21,'Operating Model'!AG21:AH21)</f>
        <v>13.076478707258209</v>
      </c>
      <c r="K19" s="114">
        <f>'Operating Model'!AK21</f>
        <v>12.348632819933501</v>
      </c>
      <c r="L19" s="114">
        <f>'Operating Model'!AQ21</f>
        <v>11.508708651542303</v>
      </c>
      <c r="M19" s="114">
        <f>'Operating Model'!AW21</f>
        <v>14.030149686864583</v>
      </c>
      <c r="N19" s="114">
        <f>'Operating Model'!BC21</f>
        <v>18.225391087939698</v>
      </c>
      <c r="O19" s="114">
        <f>'Operating Model'!BI21</f>
        <v>19.82374800380871</v>
      </c>
      <c r="P19" s="21"/>
      <c r="Q19" s="147" t="s">
        <v>212</v>
      </c>
      <c r="R19" s="21"/>
      <c r="S19" s="190">
        <f>'Comparable Valuation'!Q37</f>
        <v>3797807.9585592872</v>
      </c>
      <c r="T19" s="21"/>
    </row>
    <row r="20" spans="2:20">
      <c r="B20" s="21" t="s">
        <v>204</v>
      </c>
      <c r="C20" s="21"/>
      <c r="D20" s="21"/>
      <c r="E20" s="40">
        <f>'Operating Model'!G4</f>
        <v>7724771</v>
      </c>
      <c r="F20" s="40">
        <f>'Operating Model'!M4</f>
        <v>7280431</v>
      </c>
      <c r="G20" s="40">
        <f>'Operating Model'!S4</f>
        <v>8558874</v>
      </c>
      <c r="H20" s="40">
        <f>'Operating Model'!Y4</f>
        <v>19893856</v>
      </c>
      <c r="I20" s="40">
        <f>'Operating Model'!AE4</f>
        <v>22726418</v>
      </c>
      <c r="J20" s="40">
        <f>SUM('Operating Model'!AC4:AD4,'Operating Model'!AG4:AH4)</f>
        <v>18531232</v>
      </c>
      <c r="K20" s="40">
        <f>'Operating Model'!AK4</f>
        <v>17318407.350000001</v>
      </c>
      <c r="L20" s="40">
        <f>'Operating Model'!AQ4</f>
        <v>19134960.146000002</v>
      </c>
      <c r="M20" s="40">
        <f>'Operating Model'!AW4</f>
        <v>21450720.161899999</v>
      </c>
      <c r="N20" s="40">
        <f>'Operating Model'!BC4</f>
        <v>22980389.663518522</v>
      </c>
      <c r="O20" s="40">
        <f>'Operating Model'!BI4</f>
        <v>24927687.28622143</v>
      </c>
      <c r="P20" s="21"/>
      <c r="Q20" s="147" t="s">
        <v>213</v>
      </c>
      <c r="R20" s="21"/>
      <c r="S20" s="190">
        <f>'Comparable Valuation'!Q38</f>
        <v>3679028</v>
      </c>
      <c r="T20" s="21"/>
    </row>
    <row r="21" spans="2:20">
      <c r="B21" s="21" t="s">
        <v>108</v>
      </c>
      <c r="C21" s="21"/>
      <c r="D21" s="21"/>
      <c r="E21" s="40">
        <f>'Operating Model'!G11</f>
        <v>368968</v>
      </c>
      <c r="F21" s="40">
        <f>'Operating Model'!M11</f>
        <v>392306</v>
      </c>
      <c r="G21" s="40">
        <f>'Operating Model'!S11</f>
        <v>543854</v>
      </c>
      <c r="H21" s="40">
        <f>'Operating Model'!Y11</f>
        <v>2387424</v>
      </c>
      <c r="I21" s="40">
        <f>'Operating Model'!AE11</f>
        <v>3770206</v>
      </c>
      <c r="J21" s="40">
        <f>SUM('Operating Model'!AC11:AD11,'Operating Model'!AG11:AH11)</f>
        <v>2584788</v>
      </c>
      <c r="K21" s="40">
        <f>'Operating Model'!AK11</f>
        <v>2250345.3113527959</v>
      </c>
      <c r="L21" s="40">
        <f>'Operating Model'!AQ11</f>
        <v>2054492.8757574796</v>
      </c>
      <c r="M21" s="40">
        <f>'Operating Model'!AW11</f>
        <v>2445299.3674540962</v>
      </c>
      <c r="N21" s="40">
        <f>'Operating Model'!BC11</f>
        <v>3121513.6468011606</v>
      </c>
      <c r="O21" s="40">
        <f>'Operating Model'!BI11</f>
        <v>3379406.277852681</v>
      </c>
      <c r="P21" s="148"/>
      <c r="Q21" s="147" t="s">
        <v>420</v>
      </c>
      <c r="R21" s="21"/>
      <c r="S21" s="190">
        <f>-(S20-S19)</f>
        <v>118779.95855928725</v>
      </c>
      <c r="T21" s="21"/>
    </row>
    <row r="22" spans="2:20">
      <c r="B22" s="21" t="s">
        <v>219</v>
      </c>
      <c r="C22" s="21"/>
      <c r="D22" s="21"/>
      <c r="E22" s="40">
        <f>'Operating Model'!G9</f>
        <v>466874</v>
      </c>
      <c r="F22" s="40">
        <f>'Operating Model'!M9</f>
        <v>492344</v>
      </c>
      <c r="G22" s="40">
        <f>'Operating Model'!S9</f>
        <v>660420</v>
      </c>
      <c r="H22" s="40">
        <f>'Operating Model'!Y9</f>
        <v>2934776</v>
      </c>
      <c r="I22" s="40">
        <f>'Operating Model'!AE9</f>
        <v>4267346</v>
      </c>
      <c r="J22" s="40">
        <f>SUM('Operating Model'!AC9:AD9,'Operating Model'!AG9:AH9)</f>
        <v>3127638</v>
      </c>
      <c r="K22" s="40">
        <f>'Operating Model'!AK9</f>
        <v>2801673.7500869799</v>
      </c>
      <c r="L22" s="40">
        <f>'Operating Model'!AQ9</f>
        <v>2657561.2635223945</v>
      </c>
      <c r="M22" s="40">
        <f>'Operating Model'!AW9</f>
        <v>2948281.1072105141</v>
      </c>
      <c r="N22" s="40">
        <f>'Operating Model'!BC9</f>
        <v>3698044.6290828539</v>
      </c>
      <c r="O22" s="40">
        <f>'Operating Model'!BI9</f>
        <v>4051186.9877072135</v>
      </c>
      <c r="P22" s="21"/>
      <c r="Q22" s="147" t="s">
        <v>217</v>
      </c>
      <c r="R22" s="21"/>
      <c r="S22" s="190">
        <f>'Comparable Valuation'!Q39</f>
        <v>126432.26129477844</v>
      </c>
      <c r="T22" s="21"/>
    </row>
    <row r="23" spans="2:20">
      <c r="B23" s="21"/>
      <c r="C23" s="21"/>
      <c r="D23" s="21"/>
      <c r="E23" s="21"/>
      <c r="F23" s="21"/>
      <c r="G23" s="21"/>
      <c r="H23" s="21"/>
      <c r="I23" s="21"/>
      <c r="J23" s="21"/>
      <c r="K23" s="21"/>
      <c r="L23" s="21"/>
      <c r="M23" s="21"/>
      <c r="N23" s="21"/>
      <c r="O23" s="21"/>
      <c r="P23" s="21"/>
    </row>
    <row r="24" spans="2:20">
      <c r="Q24" s="21"/>
      <c r="R24" s="21"/>
      <c r="S24" s="21"/>
    </row>
    <row r="25" spans="2:20">
      <c r="Q25" s="21"/>
      <c r="R25" s="21"/>
      <c r="S25" s="21"/>
    </row>
    <row r="26" spans="2:20">
      <c r="Q26" s="21"/>
      <c r="R26" s="21"/>
      <c r="S26" s="114"/>
    </row>
  </sheetData>
  <conditionalFormatting sqref="Q5:S9">
    <cfRule type="cellIs" dxfId="11" priority="20" operator="lessThan">
      <formula>$S$14</formula>
    </cfRule>
    <cfRule type="cellIs" dxfId="10" priority="21" operator="greaterThan">
      <formula>$S$14</formula>
    </cfRule>
    <cfRule type="cellIs" dxfId="9" priority="22" operator="lessThan">
      <formula>$R$14</formula>
    </cfRule>
    <cfRule type="cellIs" dxfId="8" priority="23" operator="greaterThan">
      <formula>$R$14</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8B23-F600-4E3A-BF01-C98FF99347AA}">
  <sheetPr>
    <tabColor rgb="FF002060"/>
  </sheetPr>
  <dimension ref="A1:O33"/>
  <sheetViews>
    <sheetView workbookViewId="0">
      <selection activeCell="F26" sqref="F26"/>
    </sheetView>
  </sheetViews>
  <sheetFormatPr defaultColWidth="8.85546875" defaultRowHeight="15"/>
  <cols>
    <col min="1" max="1" width="21.7109375" bestFit="1" customWidth="1"/>
    <col min="2" max="5" width="12.7109375" bestFit="1" customWidth="1"/>
    <col min="6" max="6" width="13.28515625" bestFit="1" customWidth="1"/>
    <col min="7" max="10" width="8.42578125" bestFit="1" customWidth="1"/>
    <col min="11" max="11" width="6.42578125" bestFit="1" customWidth="1"/>
    <col min="14" max="14" width="14" bestFit="1" customWidth="1"/>
    <col min="15" max="15" width="8.42578125" bestFit="1" customWidth="1"/>
  </cols>
  <sheetData>
    <row r="1" spans="1:15" ht="17.25" thickBot="1">
      <c r="A1" s="145" t="s">
        <v>192</v>
      </c>
      <c r="B1" s="146" t="s">
        <v>35</v>
      </c>
      <c r="C1" s="146"/>
      <c r="D1" s="146"/>
      <c r="E1" s="146"/>
      <c r="F1" s="146"/>
      <c r="G1" s="146"/>
      <c r="H1" s="146"/>
      <c r="I1" s="146"/>
      <c r="J1" s="146"/>
      <c r="K1" s="146"/>
      <c r="L1" s="146"/>
      <c r="M1" s="146"/>
      <c r="N1" s="146"/>
      <c r="O1" s="146"/>
    </row>
    <row r="2" spans="1:15" ht="17.25" thickBot="1">
      <c r="A2" s="21"/>
      <c r="B2" s="21"/>
      <c r="C2" s="21"/>
      <c r="D2" s="21"/>
      <c r="E2" s="21"/>
      <c r="F2" s="21"/>
      <c r="G2" s="21"/>
      <c r="H2" s="21"/>
      <c r="I2" s="21"/>
      <c r="J2" s="21"/>
      <c r="K2" s="21"/>
      <c r="L2" s="21"/>
      <c r="M2" s="21"/>
      <c r="N2" s="21"/>
      <c r="O2" s="21"/>
    </row>
    <row r="3" spans="1:15" ht="17.25" thickBot="1">
      <c r="A3" s="87" t="s">
        <v>193</v>
      </c>
      <c r="B3" s="88" t="s">
        <v>194</v>
      </c>
      <c r="C3" s="88" t="s">
        <v>195</v>
      </c>
      <c r="D3" s="89" t="s">
        <v>196</v>
      </c>
      <c r="E3" s="18"/>
      <c r="F3" s="90" t="s">
        <v>197</v>
      </c>
      <c r="G3" s="88" t="s">
        <v>198</v>
      </c>
      <c r="H3" s="88" t="s">
        <v>199</v>
      </c>
      <c r="I3" s="88" t="s">
        <v>200</v>
      </c>
      <c r="J3" s="88" t="s">
        <v>201</v>
      </c>
      <c r="K3" s="89" t="s">
        <v>202</v>
      </c>
      <c r="L3" s="21"/>
      <c r="M3" s="21"/>
      <c r="N3" s="781" t="s">
        <v>203</v>
      </c>
      <c r="O3" s="782"/>
    </row>
    <row r="4" spans="1:15" ht="17.25" thickBot="1">
      <c r="A4" s="30" t="s">
        <v>204</v>
      </c>
      <c r="B4" s="91">
        <f>F29</f>
        <v>22726418</v>
      </c>
      <c r="C4" s="91">
        <f>B4</f>
        <v>22726418</v>
      </c>
      <c r="D4" s="29">
        <f>C4</f>
        <v>22726418</v>
      </c>
      <c r="E4" s="21"/>
      <c r="F4" s="92" t="s">
        <v>193</v>
      </c>
      <c r="G4" s="93">
        <f>B31/B29</f>
        <v>0.36340315331030526</v>
      </c>
      <c r="H4" s="93">
        <f>C31/C29</f>
        <v>0.58195830027095918</v>
      </c>
      <c r="I4" s="93">
        <f>D31/D29</f>
        <v>0.69930833050200292</v>
      </c>
      <c r="J4" s="93">
        <f>E31/E29</f>
        <v>1.0215682920661535</v>
      </c>
      <c r="K4" s="94">
        <f>F31/F29</f>
        <v>0.59420027342439097</v>
      </c>
      <c r="L4" s="21"/>
      <c r="M4" s="21"/>
      <c r="N4" s="23" t="s">
        <v>205</v>
      </c>
      <c r="O4" s="95">
        <v>123</v>
      </c>
    </row>
    <row r="5" spans="1:15" ht="17.25" thickBot="1">
      <c r="A5" s="25" t="s">
        <v>206</v>
      </c>
      <c r="B5" s="96">
        <f>MIN(G4:J4)</f>
        <v>0.36340315331030526</v>
      </c>
      <c r="C5" s="96">
        <f>MEDIAN(G4:J4)</f>
        <v>0.64063331538648105</v>
      </c>
      <c r="D5" s="97">
        <f>MAX(G4:J4)</f>
        <v>1.0215682920661535</v>
      </c>
      <c r="E5" s="21"/>
      <c r="F5" s="98" t="s">
        <v>207</v>
      </c>
      <c r="G5" s="99">
        <f>B31/B30</f>
        <v>6.0127703406058171</v>
      </c>
      <c r="H5" s="99">
        <f>C31/C30</f>
        <v>8.6055831898022515</v>
      </c>
      <c r="I5" s="99">
        <f>D31/D30</f>
        <v>9.0628568000923657</v>
      </c>
      <c r="J5" s="99">
        <f>E31/E30</f>
        <v>6.9248666666655305</v>
      </c>
      <c r="K5" s="100">
        <f>F31/F30</f>
        <v>3.164506414421751</v>
      </c>
      <c r="L5" s="21"/>
      <c r="M5" s="21"/>
      <c r="N5" s="191" t="s">
        <v>208</v>
      </c>
      <c r="O5" s="192">
        <f>SUMPRODUCT(H9:H11,J9:J11)</f>
        <v>174.96650549008325</v>
      </c>
    </row>
    <row r="6" spans="1:15" ht="17.25" thickBot="1">
      <c r="A6" s="25" t="s">
        <v>209</v>
      </c>
      <c r="B6" s="101">
        <f>B4*B5</f>
        <v>8258851.964648081</v>
      </c>
      <c r="C6" s="101">
        <f>C4*C5</f>
        <v>14559300.510198999</v>
      </c>
      <c r="D6" s="27">
        <f>D4*D5</f>
        <v>23216588.02104149</v>
      </c>
      <c r="E6" s="21"/>
      <c r="F6" s="102" t="s">
        <v>210</v>
      </c>
      <c r="G6" s="103">
        <f>B32/B33</f>
        <v>6.1981999244467367</v>
      </c>
      <c r="H6" s="103">
        <f>C32/C33</f>
        <v>13.398557679140687</v>
      </c>
      <c r="I6" s="103">
        <f>D32/D33</f>
        <v>15.338271320864102</v>
      </c>
      <c r="J6" s="103">
        <f>E32/E33</f>
        <v>10.112365594726679</v>
      </c>
      <c r="K6" s="104">
        <f>F32/F33</f>
        <v>3.8578476696132826</v>
      </c>
      <c r="L6" s="21"/>
      <c r="M6" s="21"/>
      <c r="N6" s="193" t="s">
        <v>211</v>
      </c>
      <c r="O6" s="194">
        <f>(O5/O4)-1</f>
        <v>0.42249191455352242</v>
      </c>
    </row>
    <row r="7" spans="1:15" ht="17.25" thickBot="1">
      <c r="A7" s="25" t="s">
        <v>212</v>
      </c>
      <c r="B7" s="143">
        <f>'Operating Model'!AE35</f>
        <v>80445</v>
      </c>
      <c r="C7" s="101">
        <f>B7</f>
        <v>80445</v>
      </c>
      <c r="D7" s="27">
        <f>C7</f>
        <v>80445</v>
      </c>
      <c r="E7" s="21"/>
      <c r="F7" s="18"/>
      <c r="G7" s="21"/>
      <c r="H7" s="21"/>
      <c r="I7" s="21"/>
      <c r="J7" s="21"/>
      <c r="K7" s="21"/>
      <c r="L7" s="21"/>
      <c r="M7" s="21"/>
      <c r="N7" s="21"/>
      <c r="O7" s="18"/>
    </row>
    <row r="8" spans="1:15" ht="17.25" thickBot="1">
      <c r="A8" s="25" t="s">
        <v>213</v>
      </c>
      <c r="B8" s="143">
        <f>'Operating Model'!AE59</f>
        <v>2977842</v>
      </c>
      <c r="C8" s="101">
        <f>B8</f>
        <v>2977842</v>
      </c>
      <c r="D8" s="27">
        <f>C8</f>
        <v>2977842</v>
      </c>
      <c r="E8" s="21"/>
      <c r="F8" s="87" t="s">
        <v>214</v>
      </c>
      <c r="G8" s="88" t="s">
        <v>194</v>
      </c>
      <c r="H8" s="88" t="s">
        <v>195</v>
      </c>
      <c r="I8" s="88" t="s">
        <v>196</v>
      </c>
      <c r="J8" s="89" t="s">
        <v>215</v>
      </c>
      <c r="K8" s="21"/>
      <c r="L8" s="21"/>
      <c r="M8" s="21"/>
      <c r="N8" s="783"/>
      <c r="O8" s="783"/>
    </row>
    <row r="9" spans="1:15" ht="16.5">
      <c r="A9" s="142" t="s">
        <v>216</v>
      </c>
      <c r="B9" s="101">
        <f>B6-B7+B8</f>
        <v>11156248.964648081</v>
      </c>
      <c r="C9" s="101">
        <f>C6-C7+C8</f>
        <v>17456697.510198999</v>
      </c>
      <c r="D9" s="27">
        <f>D6-D7+D8</f>
        <v>26113985.02104149</v>
      </c>
      <c r="E9" s="21"/>
      <c r="F9" s="92" t="s">
        <v>193</v>
      </c>
      <c r="G9" s="105">
        <f>B11</f>
        <v>68.241868869459338</v>
      </c>
      <c r="H9" s="105">
        <f>C11</f>
        <v>106.78120093588245</v>
      </c>
      <c r="I9" s="105">
        <f>D11</f>
        <v>159.73712554389496</v>
      </c>
      <c r="J9" s="106">
        <v>0.33333333333333331</v>
      </c>
      <c r="K9" s="21"/>
      <c r="L9" s="21"/>
      <c r="M9" s="21"/>
      <c r="N9" s="21"/>
      <c r="O9" s="107"/>
    </row>
    <row r="10" spans="1:15" ht="17.25" thickBot="1">
      <c r="A10" s="23" t="s">
        <v>217</v>
      </c>
      <c r="B10" s="144">
        <f>'Operating Model'!AE23</f>
        <v>163481</v>
      </c>
      <c r="C10" s="101">
        <f>B10</f>
        <v>163481</v>
      </c>
      <c r="D10" s="27">
        <f>C10</f>
        <v>163481</v>
      </c>
      <c r="E10" s="21"/>
      <c r="F10" s="98" t="s">
        <v>207</v>
      </c>
      <c r="G10" s="107">
        <f>B21</f>
        <v>174.67453992759326</v>
      </c>
      <c r="H10" s="107">
        <f>C21</f>
        <v>220.41887764693871</v>
      </c>
      <c r="I10" s="107">
        <f>D21</f>
        <v>254.29097396301071</v>
      </c>
      <c r="J10" s="108">
        <v>0.33333333333333331</v>
      </c>
      <c r="K10" s="21"/>
      <c r="L10" s="21"/>
      <c r="M10" s="21"/>
      <c r="N10" s="21"/>
      <c r="O10" s="51"/>
    </row>
    <row r="11" spans="1:15" ht="17.25" thickBot="1">
      <c r="A11" s="109" t="s">
        <v>218</v>
      </c>
      <c r="B11" s="110">
        <f>B9/B10</f>
        <v>68.241868869459338</v>
      </c>
      <c r="C11" s="110">
        <f>C9/C10</f>
        <v>106.78120093588245</v>
      </c>
      <c r="D11" s="111">
        <f>D9/D10</f>
        <v>159.73712554389496</v>
      </c>
      <c r="E11" s="21"/>
      <c r="F11" s="102" t="s">
        <v>210</v>
      </c>
      <c r="G11" s="112">
        <f>B26</f>
        <v>104.23926161496564</v>
      </c>
      <c r="H11" s="112">
        <f>C26</f>
        <v>197.69943788742864</v>
      </c>
      <c r="I11" s="112">
        <f>D26</f>
        <v>257.95393766353772</v>
      </c>
      <c r="J11" s="113">
        <v>0.33333333333333331</v>
      </c>
      <c r="K11" s="21"/>
      <c r="L11" s="21"/>
      <c r="M11" s="21"/>
      <c r="N11" s="21"/>
      <c r="O11" s="21"/>
    </row>
    <row r="12" spans="1:15" ht="17.25" thickBot="1">
      <c r="A12" s="21"/>
      <c r="B12" s="21"/>
      <c r="C12" s="21"/>
      <c r="D12" s="21"/>
      <c r="E12" s="21"/>
      <c r="F12" s="21"/>
      <c r="G12" s="21"/>
      <c r="H12" s="21"/>
      <c r="I12" s="21"/>
      <c r="J12" s="21"/>
      <c r="K12" s="21"/>
      <c r="L12" s="21"/>
      <c r="M12" s="21"/>
      <c r="N12" s="21"/>
      <c r="O12" s="21"/>
    </row>
    <row r="13" spans="1:15" ht="17.25" thickBot="1">
      <c r="A13" s="87" t="s">
        <v>207</v>
      </c>
      <c r="B13" s="88" t="s">
        <v>194</v>
      </c>
      <c r="C13" s="88" t="s">
        <v>195</v>
      </c>
      <c r="D13" s="89" t="s">
        <v>196</v>
      </c>
      <c r="E13" s="21"/>
      <c r="F13" s="114"/>
      <c r="G13" s="21"/>
      <c r="H13" s="21"/>
      <c r="I13" s="21"/>
      <c r="J13" s="21"/>
      <c r="K13" s="21"/>
      <c r="L13" s="21"/>
      <c r="M13" s="21"/>
      <c r="N13" s="21"/>
      <c r="O13" s="21"/>
    </row>
    <row r="14" spans="1:15" ht="17.25" thickBot="1">
      <c r="A14" s="30" t="s">
        <v>219</v>
      </c>
      <c r="B14" s="115">
        <f>F30</f>
        <v>4267346</v>
      </c>
      <c r="C14" s="115">
        <f>B14</f>
        <v>4267346</v>
      </c>
      <c r="D14" s="116">
        <f>C14</f>
        <v>4267346</v>
      </c>
      <c r="E14" s="21"/>
      <c r="F14" s="87" t="s">
        <v>220</v>
      </c>
      <c r="G14" s="88" t="s">
        <v>196</v>
      </c>
      <c r="H14" s="88" t="s">
        <v>195</v>
      </c>
      <c r="I14" s="89" t="s">
        <v>194</v>
      </c>
      <c r="J14" s="21"/>
      <c r="K14" s="21"/>
      <c r="L14" s="21"/>
      <c r="M14" s="51"/>
      <c r="N14" s="21"/>
      <c r="O14" s="21"/>
    </row>
    <row r="15" spans="1:15" ht="16.5">
      <c r="A15" s="25" t="s">
        <v>206</v>
      </c>
      <c r="B15" s="117">
        <f>MIN(G5:J5)</f>
        <v>6.0127703406058171</v>
      </c>
      <c r="C15" s="117">
        <f>MEDIAN(G5:J5)</f>
        <v>7.7652249282338914</v>
      </c>
      <c r="D15" s="118">
        <f>MAX(G5:J5)</f>
        <v>9.0628568000923657</v>
      </c>
      <c r="E15" s="21"/>
      <c r="F15" s="119" t="s">
        <v>218</v>
      </c>
      <c r="G15" s="120">
        <f>SUMPRODUCT(I9:I11,$J$9:$J$11)</f>
        <v>223.99401239014776</v>
      </c>
      <c r="H15" s="105">
        <f>SUMPRODUCT(H9:H11,$J$9:$J$11)</f>
        <v>174.96650549008325</v>
      </c>
      <c r="I15" s="121">
        <f>SUMPRODUCT(G9:G11,$J$9:$J$11)</f>
        <v>115.71855680400608</v>
      </c>
      <c r="J15" s="122">
        <f>I15</f>
        <v>115.71855680400608</v>
      </c>
      <c r="K15" s="21"/>
      <c r="L15" s="21"/>
      <c r="M15" s="21"/>
      <c r="N15" s="21"/>
      <c r="O15" s="21"/>
    </row>
    <row r="16" spans="1:15" ht="17.25" thickBot="1">
      <c r="A16" s="25" t="s">
        <v>209</v>
      </c>
      <c r="B16" s="123">
        <f>B14*B15</f>
        <v>25658571.461902872</v>
      </c>
      <c r="C16" s="123">
        <f>C14*C15</f>
        <v>33136901.536599185</v>
      </c>
      <c r="D16" s="116">
        <f>D14*D15</f>
        <v>38674345.714446954</v>
      </c>
      <c r="E16" s="21"/>
      <c r="F16" s="124" t="s">
        <v>211</v>
      </c>
      <c r="G16" s="125">
        <f>G15/$O$4-1</f>
        <v>0.82108953162721754</v>
      </c>
      <c r="H16" s="126">
        <f>H15/$O$4-1</f>
        <v>0.42249191455352242</v>
      </c>
      <c r="I16" s="127">
        <f>I15/$O$4-1</f>
        <v>-5.9198725170682254E-2</v>
      </c>
      <c r="J16" s="21"/>
      <c r="K16" s="21"/>
      <c r="L16" s="21"/>
      <c r="M16" s="21"/>
      <c r="N16" s="21"/>
      <c r="O16" s="21"/>
    </row>
    <row r="17" spans="1:15" ht="16.5">
      <c r="A17" s="25" t="s">
        <v>212</v>
      </c>
      <c r="B17" s="123">
        <f>B7</f>
        <v>80445</v>
      </c>
      <c r="C17" s="123">
        <f>B17</f>
        <v>80445</v>
      </c>
      <c r="D17" s="116">
        <f>C17</f>
        <v>80445</v>
      </c>
      <c r="E17" s="21"/>
      <c r="F17" s="21"/>
      <c r="G17" s="21"/>
      <c r="H17" s="21"/>
      <c r="I17" s="21"/>
      <c r="J17" s="21"/>
      <c r="K17" s="21"/>
      <c r="L17" s="21"/>
      <c r="M17" s="21"/>
      <c r="N17" s="21"/>
      <c r="O17" s="21"/>
    </row>
    <row r="18" spans="1:15" ht="16.5">
      <c r="A18" s="25" t="s">
        <v>213</v>
      </c>
      <c r="B18" s="123">
        <f>B8</f>
        <v>2977842</v>
      </c>
      <c r="C18" s="123">
        <f>B18</f>
        <v>2977842</v>
      </c>
      <c r="D18" s="116">
        <f>C18</f>
        <v>2977842</v>
      </c>
      <c r="E18" s="21"/>
      <c r="F18" s="21"/>
      <c r="G18" s="21"/>
      <c r="H18" s="21"/>
      <c r="I18" s="21"/>
      <c r="J18" s="21"/>
      <c r="K18" s="21"/>
      <c r="L18" s="21"/>
      <c r="M18" s="21"/>
      <c r="N18" s="21"/>
      <c r="O18" s="21"/>
    </row>
    <row r="19" spans="1:15" ht="16.5">
      <c r="A19" s="25" t="s">
        <v>216</v>
      </c>
      <c r="B19" s="123">
        <f>B16-B17+B18</f>
        <v>28555968.461902872</v>
      </c>
      <c r="C19" s="123">
        <f>C16-C17+C18</f>
        <v>36034298.536599189</v>
      </c>
      <c r="D19" s="116">
        <f>D16-D17+D18</f>
        <v>41571742.714446954</v>
      </c>
      <c r="E19" s="21"/>
      <c r="F19" s="21"/>
      <c r="G19" s="21"/>
      <c r="H19" s="21"/>
      <c r="I19" s="21"/>
      <c r="J19" s="21"/>
      <c r="K19" s="21"/>
      <c r="L19" s="21"/>
      <c r="M19" s="21"/>
      <c r="N19" s="21"/>
      <c r="O19" s="21"/>
    </row>
    <row r="20" spans="1:15" ht="17.25" thickBot="1">
      <c r="A20" s="23" t="s">
        <v>217</v>
      </c>
      <c r="B20" s="128">
        <f>B10</f>
        <v>163481</v>
      </c>
      <c r="C20" s="123">
        <f>B20</f>
        <v>163481</v>
      </c>
      <c r="D20" s="116">
        <f>C20</f>
        <v>163481</v>
      </c>
      <c r="E20" s="21"/>
      <c r="F20" s="21"/>
      <c r="G20" s="21"/>
      <c r="H20" s="21"/>
      <c r="I20" s="21"/>
      <c r="J20" s="21"/>
      <c r="K20" s="21"/>
      <c r="L20" s="21"/>
      <c r="M20" s="21"/>
      <c r="N20" s="21"/>
      <c r="O20" s="21"/>
    </row>
    <row r="21" spans="1:15" ht="17.25" thickBot="1">
      <c r="A21" s="109" t="s">
        <v>218</v>
      </c>
      <c r="B21" s="110">
        <f>B19/B20</f>
        <v>174.67453992759326</v>
      </c>
      <c r="C21" s="110">
        <f>C19/C20</f>
        <v>220.41887764693871</v>
      </c>
      <c r="D21" s="111">
        <f>D19/D20</f>
        <v>254.29097396301071</v>
      </c>
      <c r="E21" s="21"/>
      <c r="F21" s="129"/>
      <c r="G21" s="21"/>
      <c r="H21" s="21"/>
      <c r="I21" s="21"/>
      <c r="J21" s="21"/>
      <c r="K21" s="21"/>
      <c r="L21" s="21"/>
      <c r="M21" s="21"/>
      <c r="N21" s="21"/>
      <c r="O21" s="21"/>
    </row>
    <row r="22" spans="1:15" ht="17.25" thickBot="1">
      <c r="A22" s="21"/>
      <c r="B22" s="21"/>
      <c r="C22" s="21"/>
      <c r="D22" s="21"/>
      <c r="E22" s="21"/>
      <c r="F22" s="21"/>
      <c r="G22" s="21"/>
      <c r="H22" s="21"/>
      <c r="I22" s="21"/>
      <c r="J22" s="21"/>
      <c r="K22" s="21"/>
      <c r="L22" s="21"/>
      <c r="M22" s="21"/>
      <c r="N22" s="21"/>
      <c r="O22" s="21"/>
    </row>
    <row r="23" spans="1:15" ht="17.25" thickBot="1">
      <c r="A23" s="90" t="s">
        <v>210</v>
      </c>
      <c r="B23" s="88" t="s">
        <v>194</v>
      </c>
      <c r="C23" s="88" t="s">
        <v>195</v>
      </c>
      <c r="D23" s="89" t="s">
        <v>196</v>
      </c>
      <c r="E23" s="21"/>
      <c r="F23" s="21"/>
      <c r="G23" s="21"/>
      <c r="H23" s="21"/>
      <c r="I23" s="21"/>
      <c r="J23" s="21"/>
      <c r="K23" s="21"/>
      <c r="L23" s="21"/>
      <c r="M23" s="21"/>
      <c r="N23" s="21"/>
      <c r="O23" s="21"/>
    </row>
    <row r="24" spans="1:15" ht="16.5">
      <c r="A24" s="30" t="s">
        <v>221</v>
      </c>
      <c r="B24" s="130">
        <f>F33</f>
        <v>16.817666884836768</v>
      </c>
      <c r="C24" s="130">
        <f>B24</f>
        <v>16.817666884836768</v>
      </c>
      <c r="D24" s="131">
        <f>C24</f>
        <v>16.817666884836768</v>
      </c>
      <c r="E24" s="21"/>
      <c r="F24" s="21"/>
      <c r="G24" s="21"/>
      <c r="H24" s="21"/>
      <c r="I24" s="21"/>
      <c r="J24" s="21"/>
      <c r="K24" s="21"/>
      <c r="L24" s="21"/>
      <c r="M24" s="21"/>
      <c r="N24" s="21"/>
      <c r="O24" s="21"/>
    </row>
    <row r="25" spans="1:15" ht="17.25" thickBot="1">
      <c r="A25" s="23" t="s">
        <v>206</v>
      </c>
      <c r="B25" s="132">
        <f>MIN(G6:J6)</f>
        <v>6.1981999244467367</v>
      </c>
      <c r="C25" s="132">
        <f>MEDIAN(G6:J6)</f>
        <v>11.755461636933683</v>
      </c>
      <c r="D25" s="133">
        <f>MAX(G6:J6)</f>
        <v>15.338271320864102</v>
      </c>
      <c r="E25" s="21"/>
      <c r="F25" s="21"/>
      <c r="G25" s="21"/>
      <c r="H25" s="21"/>
      <c r="I25" s="21"/>
      <c r="J25" s="21"/>
      <c r="K25" s="21"/>
      <c r="L25" s="21"/>
      <c r="M25" s="21"/>
      <c r="N25" s="21"/>
      <c r="O25" s="21"/>
    </row>
    <row r="26" spans="1:15" ht="17.25" thickBot="1">
      <c r="A26" s="109" t="s">
        <v>218</v>
      </c>
      <c r="B26" s="110">
        <f>B24*B25</f>
        <v>104.23926161496564</v>
      </c>
      <c r="C26" s="110">
        <f>C24*C25</f>
        <v>197.69943788742864</v>
      </c>
      <c r="D26" s="111">
        <f>D24*D25</f>
        <v>257.95393766353772</v>
      </c>
      <c r="E26" s="21"/>
      <c r="F26" s="21"/>
      <c r="G26" s="21"/>
      <c r="H26" s="21"/>
      <c r="I26" s="21"/>
      <c r="J26" s="21"/>
      <c r="K26" s="21"/>
      <c r="L26" s="21"/>
      <c r="M26" s="21"/>
      <c r="N26" s="21"/>
      <c r="O26" s="21"/>
    </row>
    <row r="27" spans="1:15" ht="17.25" thickBot="1">
      <c r="A27" s="21"/>
      <c r="B27" s="21"/>
      <c r="C27" s="21"/>
      <c r="D27" s="21"/>
      <c r="E27" s="21"/>
      <c r="F27" s="21"/>
      <c r="G27" s="21"/>
      <c r="H27" s="21"/>
      <c r="I27" s="21"/>
      <c r="J27" s="21"/>
      <c r="K27" s="21"/>
      <c r="L27" s="21"/>
      <c r="M27" s="21"/>
      <c r="N27" s="21"/>
      <c r="O27" s="21"/>
    </row>
    <row r="28" spans="1:15" ht="17.25" thickBot="1">
      <c r="A28" s="87" t="s">
        <v>222</v>
      </c>
      <c r="B28" s="88" t="s">
        <v>198</v>
      </c>
      <c r="C28" s="88" t="s">
        <v>199</v>
      </c>
      <c r="D28" s="88" t="s">
        <v>200</v>
      </c>
      <c r="E28" s="88" t="s">
        <v>201</v>
      </c>
      <c r="F28" s="89" t="s">
        <v>202</v>
      </c>
      <c r="G28" s="21"/>
      <c r="H28" s="21"/>
      <c r="I28" s="21"/>
      <c r="J28" s="21"/>
      <c r="K28" s="21"/>
      <c r="L28" s="21"/>
      <c r="M28" s="21"/>
      <c r="N28" s="21"/>
      <c r="O28" s="18"/>
    </row>
    <row r="29" spans="1:15" ht="16.5">
      <c r="A29" s="30" t="s">
        <v>223</v>
      </c>
      <c r="B29" s="134">
        <f>'Operating Model'!G4</f>
        <v>7724771</v>
      </c>
      <c r="C29" s="134">
        <f>'Operating Model'!M4</f>
        <v>7280431</v>
      </c>
      <c r="D29" s="134">
        <f>'Operating Model'!S4</f>
        <v>8558874</v>
      </c>
      <c r="E29" s="134">
        <f>'Operating Model'!Y4</f>
        <v>19893856</v>
      </c>
      <c r="F29" s="135">
        <f>'Operating Model'!AE4</f>
        <v>22726418</v>
      </c>
      <c r="G29" s="21"/>
      <c r="H29" s="21"/>
      <c r="I29" s="21"/>
      <c r="J29" s="21"/>
      <c r="K29" s="21"/>
      <c r="L29" s="21"/>
      <c r="M29" s="21"/>
      <c r="N29" s="21"/>
      <c r="O29" s="18"/>
    </row>
    <row r="30" spans="1:15" ht="16.5">
      <c r="A30" s="25" t="s">
        <v>224</v>
      </c>
      <c r="B30" s="136">
        <f>'Operating Model'!G9</f>
        <v>466874</v>
      </c>
      <c r="C30" s="136">
        <f>'Operating Model'!M9</f>
        <v>492344</v>
      </c>
      <c r="D30" s="136">
        <f>'Operating Model'!S9</f>
        <v>660420</v>
      </c>
      <c r="E30" s="136">
        <f>'Operating Model'!Y9</f>
        <v>2934776</v>
      </c>
      <c r="F30" s="137">
        <f>'Operating Model'!AE9</f>
        <v>4267346</v>
      </c>
      <c r="G30" s="21"/>
      <c r="H30" s="21"/>
      <c r="I30" s="21"/>
      <c r="J30" s="21"/>
      <c r="K30" s="21"/>
      <c r="L30" s="21"/>
      <c r="M30" s="21"/>
      <c r="N30" s="21"/>
      <c r="O30" s="18"/>
    </row>
    <row r="31" spans="1:15" ht="16.5">
      <c r="A31" s="25" t="s">
        <v>225</v>
      </c>
      <c r="B31" s="136">
        <f>('Operating Model'!G23*'His '!B32)+('Operating Model'!G59-'Operating Model'!G35)</f>
        <v>2807206.14</v>
      </c>
      <c r="C31" s="136">
        <f>('Operating Model'!M23*'His '!C32)+('Operating Model'!L59-'Operating Model'!M35)</f>
        <v>4236907.25</v>
      </c>
      <c r="D31" s="136">
        <f>('Operating Model'!S23*'His '!D32)+('Operating Model'!S59-'Operating Model'!S35)</f>
        <v>5985291.8879169999</v>
      </c>
      <c r="E31" s="136">
        <f>('Operating Model'!Y23*'His '!E32)+('Operating Model'!Y59-'Operating Model'!Y35)</f>
        <v>20322932.49653</v>
      </c>
      <c r="F31" s="137">
        <f>('Operating Model'!AE23*'His '!F32)+('Operating Model'!AE59-'Operating Model'!AE35)</f>
        <v>13504043.789557001</v>
      </c>
      <c r="G31" s="21"/>
      <c r="H31" s="21"/>
      <c r="I31" s="21"/>
      <c r="J31" s="21"/>
      <c r="K31" s="21"/>
      <c r="L31" s="21"/>
      <c r="M31" s="21"/>
      <c r="N31" s="21"/>
      <c r="O31" s="18"/>
    </row>
    <row r="32" spans="1:15" ht="16.5">
      <c r="A32" s="25" t="s">
        <v>226</v>
      </c>
      <c r="B32" s="138">
        <f>Beta!C254</f>
        <v>10.91</v>
      </c>
      <c r="C32" s="138">
        <f>Beta!C506</f>
        <v>25.41</v>
      </c>
      <c r="D32" s="138">
        <f>Beta!C759</f>
        <v>40.810001</v>
      </c>
      <c r="E32" s="138">
        <f>Beta!C1011</f>
        <v>85.709998999999996</v>
      </c>
      <c r="F32" s="139">
        <f>Beta!C1262</f>
        <v>64.879997000000003</v>
      </c>
      <c r="G32" s="21"/>
      <c r="H32" s="21"/>
      <c r="I32" s="21"/>
      <c r="J32" s="21"/>
      <c r="K32" s="21"/>
      <c r="L32" s="21"/>
      <c r="M32" s="21"/>
      <c r="N32" s="21"/>
      <c r="O32" s="18"/>
    </row>
    <row r="33" spans="1:15" ht="17.25" thickBot="1">
      <c r="A33" s="23" t="s">
        <v>221</v>
      </c>
      <c r="B33" s="140">
        <f>'Operating Model'!G21</f>
        <v>1.7601884632615892</v>
      </c>
      <c r="C33" s="140">
        <f>'Operating Model'!M21</f>
        <v>1.8964727852430803</v>
      </c>
      <c r="D33" s="140">
        <f>'Operating Model'!S21</f>
        <v>2.6606649567143603</v>
      </c>
      <c r="E33" s="140">
        <f>'Operating Model'!Y21</f>
        <v>8.4757615018087762</v>
      </c>
      <c r="F33" s="141">
        <f>'Operating Model'!AE21</f>
        <v>16.817666884836768</v>
      </c>
      <c r="G33" s="21"/>
      <c r="H33" s="21"/>
      <c r="I33" s="21"/>
      <c r="J33" s="21"/>
      <c r="K33" s="21"/>
      <c r="L33" s="21"/>
      <c r="M33" s="21"/>
      <c r="N33" s="21"/>
      <c r="O33" s="18"/>
    </row>
  </sheetData>
  <mergeCells count="2">
    <mergeCell ref="N3:O3"/>
    <mergeCell ref="N8:O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E98E-A2FC-4802-B44A-94057738BC97}">
  <sheetPr>
    <tabColor rgb="FF002060"/>
  </sheetPr>
  <dimension ref="A1:AA61"/>
  <sheetViews>
    <sheetView showGridLines="0" topLeftCell="A20" zoomScale="110" zoomScaleNormal="110" workbookViewId="0">
      <selection activeCell="A58" sqref="A58:XFD61"/>
    </sheetView>
  </sheetViews>
  <sheetFormatPr defaultColWidth="9.140625" defaultRowHeight="15"/>
  <cols>
    <col min="1" max="1" width="1.7109375" style="408" customWidth="1"/>
    <col min="2" max="2" width="33.42578125" style="408" bestFit="1" customWidth="1"/>
    <col min="3" max="3" width="2.140625" style="408" bestFit="1" customWidth="1"/>
    <col min="4" max="4" width="19" style="408" bestFit="1" customWidth="1"/>
    <col min="5" max="5" width="1.7109375" style="408" customWidth="1"/>
    <col min="6" max="9" width="20.7109375" style="408" bestFit="1" customWidth="1"/>
    <col min="10" max="12" width="22.85546875" style="408" customWidth="1"/>
    <col min="13" max="13" width="3.28515625" customWidth="1"/>
    <col min="14" max="14" width="13.28515625" style="408" bestFit="1" customWidth="1"/>
    <col min="15" max="15" width="16" style="408" customWidth="1"/>
    <col min="16" max="16" width="9.28515625" style="408" bestFit="1" customWidth="1"/>
    <col min="17" max="17" width="16.42578125" style="408" bestFit="1" customWidth="1"/>
    <col min="18" max="18" width="13.140625" style="408" bestFit="1" customWidth="1"/>
    <col min="19" max="19" width="7.7109375" style="408" bestFit="1" customWidth="1"/>
    <col min="20" max="16384" width="9.140625" style="408"/>
  </cols>
  <sheetData>
    <row r="1" spans="1:27" ht="16.5">
      <c r="A1" s="406"/>
      <c r="B1" s="406"/>
      <c r="C1" s="406"/>
      <c r="D1" s="406"/>
      <c r="E1" s="406"/>
      <c r="F1" s="406"/>
      <c r="G1" s="406"/>
      <c r="H1" s="406"/>
      <c r="I1" s="406"/>
      <c r="J1" s="406"/>
      <c r="K1" s="406"/>
      <c r="L1" s="406"/>
      <c r="N1" s="406"/>
      <c r="O1" s="406"/>
      <c r="P1" s="406"/>
      <c r="Q1" s="406"/>
    </row>
    <row r="2" spans="1:27" ht="17.25" thickBot="1">
      <c r="A2" s="414"/>
      <c r="B2" s="505" t="s">
        <v>338</v>
      </c>
      <c r="C2" s="506"/>
      <c r="D2" s="506"/>
      <c r="E2" s="506"/>
      <c r="F2" s="506"/>
      <c r="G2" s="506"/>
      <c r="H2" s="506"/>
      <c r="I2" s="506"/>
      <c r="J2" s="506"/>
      <c r="K2" s="506"/>
      <c r="L2" s="572"/>
      <c r="M2" s="571"/>
      <c r="N2" s="506"/>
      <c r="O2" s="506"/>
      <c r="P2" s="506"/>
      <c r="Q2" s="507"/>
    </row>
    <row r="3" spans="1:27" ht="4.5" customHeight="1" thickBot="1">
      <c r="A3" s="406"/>
      <c r="B3" s="573"/>
      <c r="C3" s="415"/>
      <c r="D3" s="415"/>
      <c r="E3" s="415"/>
      <c r="F3" s="415"/>
      <c r="G3" s="415"/>
      <c r="H3" s="415"/>
      <c r="I3" s="415"/>
      <c r="J3" s="416"/>
      <c r="K3" s="415"/>
      <c r="L3" s="415"/>
      <c r="N3" s="415"/>
      <c r="O3" s="415"/>
      <c r="P3" s="415"/>
      <c r="Q3" s="415"/>
    </row>
    <row r="4" spans="1:27" ht="17.25" thickBot="1">
      <c r="A4" s="414"/>
      <c r="B4" s="417"/>
      <c r="C4" s="418"/>
      <c r="D4" s="419" t="s">
        <v>282</v>
      </c>
      <c r="E4" s="420"/>
      <c r="F4" s="421"/>
      <c r="G4" s="596"/>
      <c r="H4" s="596" t="s">
        <v>372</v>
      </c>
      <c r="I4" s="422"/>
      <c r="J4" s="423"/>
      <c r="K4" s="423"/>
      <c r="L4" s="423"/>
      <c r="N4" s="424"/>
      <c r="O4" s="425" t="s">
        <v>247</v>
      </c>
      <c r="P4" s="426"/>
      <c r="Q4" s="427"/>
    </row>
    <row r="5" spans="1:27" ht="16.5">
      <c r="A5" s="414"/>
      <c r="B5" s="430"/>
      <c r="C5" s="414"/>
      <c r="D5" s="431"/>
      <c r="E5" s="406"/>
      <c r="F5" s="406"/>
      <c r="G5" s="406"/>
      <c r="H5" s="406"/>
      <c r="I5" s="406"/>
      <c r="J5" s="406"/>
      <c r="K5" s="406"/>
      <c r="L5" s="414"/>
      <c r="M5" s="571"/>
      <c r="N5" s="406"/>
      <c r="O5" s="406"/>
      <c r="P5" s="406"/>
      <c r="Q5" s="414"/>
      <c r="R5"/>
      <c r="X5"/>
    </row>
    <row r="6" spans="1:27" ht="16.5">
      <c r="A6" s="414"/>
      <c r="B6" s="430"/>
      <c r="C6" s="414"/>
      <c r="D6" s="431"/>
      <c r="E6" s="432"/>
      <c r="F6"/>
      <c r="G6"/>
      <c r="H6"/>
      <c r="I6" s="433"/>
      <c r="J6"/>
      <c r="L6" s="499"/>
      <c r="M6" s="571"/>
      <c r="N6" s="406"/>
      <c r="O6" s="406"/>
      <c r="P6" s="406"/>
      <c r="Q6" s="414"/>
    </row>
    <row r="7" spans="1:27" ht="16.5">
      <c r="A7" s="414"/>
      <c r="B7" s="430"/>
      <c r="C7" s="414"/>
      <c r="D7" s="431"/>
      <c r="E7" s="406"/>
      <c r="I7"/>
      <c r="J7" s="406"/>
      <c r="K7"/>
      <c r="L7" s="414"/>
      <c r="M7" s="571"/>
      <c r="N7" s="406"/>
      <c r="O7" s="406"/>
      <c r="P7" s="406"/>
      <c r="Q7" s="414"/>
    </row>
    <row r="8" spans="1:27" ht="17.25" thickBot="1">
      <c r="A8" s="414"/>
      <c r="B8" s="434" t="s">
        <v>373</v>
      </c>
      <c r="C8" s="429"/>
      <c r="D8" s="435"/>
      <c r="E8" s="407"/>
      <c r="F8" s="407"/>
      <c r="G8" s="407"/>
      <c r="H8" s="407"/>
      <c r="I8" s="407"/>
      <c r="J8" s="407"/>
      <c r="K8" s="407"/>
      <c r="L8" s="429"/>
      <c r="N8" s="436"/>
      <c r="O8" s="407"/>
      <c r="P8" s="407"/>
      <c r="Q8" s="429"/>
      <c r="AA8" s="406"/>
    </row>
    <row r="9" spans="1:27" ht="16.5">
      <c r="A9" s="414"/>
      <c r="B9" s="437"/>
      <c r="C9" s="414"/>
      <c r="D9" s="431"/>
      <c r="E9" s="406"/>
      <c r="F9" s="406"/>
      <c r="G9" s="406"/>
      <c r="H9" s="406"/>
      <c r="I9" s="406"/>
      <c r="K9" s="406"/>
      <c r="L9" s="414"/>
      <c r="N9" s="21"/>
      <c r="O9" s="361" t="s">
        <v>352</v>
      </c>
      <c r="P9" s="361" t="s">
        <v>195</v>
      </c>
      <c r="Q9" s="514" t="s">
        <v>353</v>
      </c>
    </row>
    <row r="10" spans="1:27" ht="16.5">
      <c r="A10" s="414"/>
      <c r="B10" s="430" t="s">
        <v>354</v>
      </c>
      <c r="C10" s="414"/>
      <c r="D10" s="438" t="s">
        <v>386</v>
      </c>
      <c r="E10" s="439"/>
      <c r="F10" s="593" t="s">
        <v>421</v>
      </c>
      <c r="G10" s="593" t="s">
        <v>424</v>
      </c>
      <c r="H10" s="593" t="s">
        <v>422</v>
      </c>
      <c r="I10" s="440" t="s">
        <v>387</v>
      </c>
      <c r="J10" s="440" t="s">
        <v>388</v>
      </c>
      <c r="K10" s="440" t="s">
        <v>389</v>
      </c>
      <c r="L10" s="562" t="s">
        <v>390</v>
      </c>
      <c r="N10" s="365" t="s">
        <v>210</v>
      </c>
      <c r="O10" s="405">
        <f>O17*$Q$33</f>
        <v>590.7109354328785</v>
      </c>
      <c r="P10" s="405">
        <f>P17*$Q$33</f>
        <v>104.57296720071493</v>
      </c>
      <c r="Q10" s="405">
        <f>Q17*$Q$33</f>
        <v>60.271198570154326</v>
      </c>
    </row>
    <row r="11" spans="1:27" ht="16.5">
      <c r="A11" s="414"/>
      <c r="B11" s="430" t="s">
        <v>374</v>
      </c>
      <c r="C11" s="414"/>
      <c r="D11" s="441" t="s">
        <v>182</v>
      </c>
      <c r="E11" s="442"/>
      <c r="F11" s="442" t="s">
        <v>423</v>
      </c>
      <c r="G11" s="442" t="s">
        <v>425</v>
      </c>
      <c r="H11" s="442" t="s">
        <v>391</v>
      </c>
      <c r="I11" s="442" t="s">
        <v>392</v>
      </c>
      <c r="J11" s="442" t="s">
        <v>393</v>
      </c>
      <c r="K11" s="442" t="s">
        <v>394</v>
      </c>
      <c r="L11" s="563" t="s">
        <v>395</v>
      </c>
      <c r="N11" s="365" t="s">
        <v>355</v>
      </c>
      <c r="O11" s="550">
        <f>((O18*$Q$34)+$Q$38-$Q$39)/$Q$40</f>
        <v>102.90906458133828</v>
      </c>
      <c r="P11" s="405">
        <f>((P19*$Q$34)+$Q$38-$Q$39)/$Q$40</f>
        <v>80.745358116768102</v>
      </c>
      <c r="Q11" s="405">
        <f>((Q19*$Q$34)+$Q$38-$Q$39)/$Q$40</f>
        <v>50.406119633063867</v>
      </c>
      <c r="R11" s="504"/>
    </row>
    <row r="12" spans="1:27" ht="16.5">
      <c r="A12" s="414"/>
      <c r="B12" s="430" t="s">
        <v>375</v>
      </c>
      <c r="C12" s="414"/>
      <c r="D12" s="443">
        <f>IF(D13="Thousands",D42/1000000,IF(D13="Millions",D42/100))</f>
        <v>17.416975999999998</v>
      </c>
      <c r="E12" s="444"/>
      <c r="F12" s="444">
        <f>IF(F13="Thousands",F42/1000000,IF(F13="Millions",F42/1000))</f>
        <v>12.967879999999999</v>
      </c>
      <c r="G12"/>
      <c r="H12" s="444">
        <f>IF(H13="Thousands",H42/1000000,IF(H13="Millions",H42/1000))</f>
        <v>33.685082860000001</v>
      </c>
      <c r="I12" s="444">
        <f>IF(I13="Thousands",I42/1000000,IF(I13="Millions",I42/1000))</f>
        <v>8.9265105899999995</v>
      </c>
      <c r="J12" s="444">
        <f>IF(J13="Thousands",J42/1000000,IF(J13="Millions",J42/1000))</f>
        <v>41.654487000000003</v>
      </c>
      <c r="K12" s="444">
        <f>IF(K13="Thousands",K42/1000000,IF(K13="Millions",K42/1000))</f>
        <v>3.6529789799999999</v>
      </c>
      <c r="L12" s="564">
        <f>IF(L13="Thousands",L42/1000000,IF(L13="Millions",L42/1000))</f>
        <v>17.353090560000002</v>
      </c>
      <c r="N12" s="365" t="s">
        <v>207</v>
      </c>
      <c r="O12" s="550">
        <f>((O19*$Q$35)+$Q$38-$Q$39)/$Q$40</f>
        <v>635.06055464236294</v>
      </c>
      <c r="P12" s="405">
        <f>((P19*$Q$35)+$Q$38-$Q$39)/$Q$40</f>
        <v>108.26661502749093</v>
      </c>
      <c r="Q12" s="405">
        <f>((Q19*$Q$35)+$Q$38-$Q$39)/$Q$40</f>
        <v>70.086952062960762</v>
      </c>
    </row>
    <row r="13" spans="1:27" ht="17.25" thickBot="1">
      <c r="A13" s="414"/>
      <c r="B13" s="430" t="s">
        <v>356</v>
      </c>
      <c r="C13" s="414"/>
      <c r="D13" s="445" t="s">
        <v>164</v>
      </c>
      <c r="E13" s="410"/>
      <c r="F13" s="410" t="s">
        <v>164</v>
      </c>
      <c r="G13" s="410" t="s">
        <v>164</v>
      </c>
      <c r="H13" s="410" t="s">
        <v>164</v>
      </c>
      <c r="I13" s="410" t="s">
        <v>164</v>
      </c>
      <c r="J13" s="410" t="s">
        <v>164</v>
      </c>
      <c r="K13" s="410" t="s">
        <v>164</v>
      </c>
      <c r="L13" s="565" t="s">
        <v>164</v>
      </c>
      <c r="N13" s="365" t="s">
        <v>357</v>
      </c>
      <c r="O13" s="405">
        <f>($Q$36/$Q$40)*O20</f>
        <v>1034.1079679561431</v>
      </c>
      <c r="P13" s="405">
        <f>($Q$36/$Q$40)*P20</f>
        <v>144.62084048398071</v>
      </c>
      <c r="Q13" s="405">
        <f>($Q$36/$Q$40)*Q20</f>
        <v>74.475582522618282</v>
      </c>
    </row>
    <row r="14" spans="1:27" ht="16.5">
      <c r="A14" s="414"/>
      <c r="B14" s="430" t="s">
        <v>262</v>
      </c>
      <c r="C14" s="414"/>
      <c r="D14" s="445">
        <f>D40</f>
        <v>136</v>
      </c>
      <c r="E14" s="406"/>
      <c r="F14" s="410">
        <f t="shared" ref="F14:L14" si="0">F40</f>
        <v>57.38</v>
      </c>
      <c r="G14" s="410">
        <f t="shared" si="0"/>
        <v>65.56</v>
      </c>
      <c r="H14" s="410">
        <f t="shared" si="0"/>
        <v>119.09</v>
      </c>
      <c r="I14" s="410">
        <f t="shared" si="0"/>
        <v>80.33</v>
      </c>
      <c r="J14" s="410">
        <f t="shared" si="0"/>
        <v>121.69</v>
      </c>
      <c r="K14" s="410">
        <f t="shared" si="0"/>
        <v>43.33</v>
      </c>
      <c r="L14" s="565">
        <f t="shared" si="0"/>
        <v>77.680000000000007</v>
      </c>
      <c r="N14" s="21"/>
      <c r="O14" s="397" t="s">
        <v>358</v>
      </c>
      <c r="P14" s="509"/>
      <c r="Q14" s="510">
        <f>AVERAGE(P10:P13)</f>
        <v>109.55144520723866</v>
      </c>
    </row>
    <row r="15" spans="1:27" ht="17.25" thickBot="1">
      <c r="A15" s="414"/>
      <c r="B15" s="430" t="s">
        <v>376</v>
      </c>
      <c r="C15" s="414"/>
      <c r="D15" s="445">
        <f>D46/D41</f>
        <v>37.287929129226221</v>
      </c>
      <c r="E15" s="410"/>
      <c r="F15" s="410">
        <f t="shared" ref="F15:L15" si="1">F46/F41</f>
        <v>3.0973451327433628E-2</v>
      </c>
      <c r="G15" s="410">
        <f t="shared" si="1"/>
        <v>5.7271908956471425</v>
      </c>
      <c r="H15" s="410">
        <f t="shared" si="1"/>
        <v>91.172626160492698</v>
      </c>
      <c r="I15" s="410">
        <f t="shared" si="1"/>
        <v>57.775797989615114</v>
      </c>
      <c r="J15" s="410">
        <f t="shared" si="1"/>
        <v>64.511539585159213</v>
      </c>
      <c r="K15" s="410">
        <f t="shared" si="1"/>
        <v>44.676321969966551</v>
      </c>
      <c r="L15" s="565">
        <f t="shared" si="1"/>
        <v>43.443923685718381</v>
      </c>
      <c r="N15" s="21"/>
      <c r="O15" s="511" t="s">
        <v>203</v>
      </c>
      <c r="P15" s="512"/>
      <c r="Q15" s="513">
        <f>(Q14-Q32)/Q32</f>
        <v>-0.12839967215181272</v>
      </c>
    </row>
    <row r="16" spans="1:27" ht="17.25" thickBot="1">
      <c r="A16" s="414"/>
      <c r="B16" s="434" t="s">
        <v>247</v>
      </c>
      <c r="C16" s="429"/>
      <c r="D16" s="446"/>
      <c r="E16" s="407"/>
      <c r="F16" s="407"/>
      <c r="G16" s="407"/>
      <c r="H16" s="407"/>
      <c r="I16" s="407"/>
      <c r="J16" s="407"/>
      <c r="K16" s="407"/>
      <c r="L16" s="429"/>
      <c r="N16" s="406"/>
      <c r="O16" s="476"/>
      <c r="R16" s="504"/>
      <c r="S16"/>
      <c r="T16"/>
    </row>
    <row r="17" spans="1:17" ht="16.5">
      <c r="A17" s="414"/>
      <c r="B17" s="430" t="s">
        <v>210</v>
      </c>
      <c r="C17" s="414"/>
      <c r="D17" s="448">
        <f>D40/D53</f>
        <v>10.400353416590054</v>
      </c>
      <c r="E17" s="447"/>
      <c r="F17" s="447">
        <f t="shared" ref="F17:L17" si="2">F40/F53</f>
        <v>16.163380281690142</v>
      </c>
      <c r="G17" s="447">
        <f t="shared" si="2"/>
        <v>48.92537313432836</v>
      </c>
      <c r="H17" s="447">
        <f t="shared" si="2"/>
        <v>8.8345697329376858</v>
      </c>
      <c r="I17" s="447">
        <f t="shared" si="2"/>
        <v>5.8336964415395789</v>
      </c>
      <c r="J17" s="447">
        <f t="shared" si="2"/>
        <v>8.6612099644128104</v>
      </c>
      <c r="K17" s="447">
        <f t="shared" si="2"/>
        <v>4.991935483870968</v>
      </c>
      <c r="L17" s="455">
        <f t="shared" si="2"/>
        <v>6.4571903574397336</v>
      </c>
      <c r="N17" s="414"/>
      <c r="O17" s="449">
        <f>MAX(F17:L17)</f>
        <v>48.92537313432836</v>
      </c>
      <c r="P17" s="450">
        <f>MEDIAN(F17:L17)</f>
        <v>8.6612099644128104</v>
      </c>
      <c r="Q17" s="451">
        <f>MIN(F17:L17)</f>
        <v>4.991935483870968</v>
      </c>
    </row>
    <row r="18" spans="1:17" ht="16.5">
      <c r="A18" s="414"/>
      <c r="B18" s="430" t="s">
        <v>193</v>
      </c>
      <c r="C18" s="414"/>
      <c r="D18" s="448">
        <f>D45/D49</f>
        <v>1.1174939109369693</v>
      </c>
      <c r="E18" s="447"/>
      <c r="F18" s="447">
        <f t="shared" ref="F18:L18" si="3">F45/F49</f>
        <v>1.8867824608283736</v>
      </c>
      <c r="G18" s="447">
        <f t="shared" si="3"/>
        <v>7.5212044409738672</v>
      </c>
      <c r="H18" s="447">
        <f t="shared" si="3"/>
        <v>0.98434700407152609</v>
      </c>
      <c r="I18" s="447">
        <f t="shared" si="3"/>
        <v>0.91329297279553967</v>
      </c>
      <c r="J18" s="447">
        <f t="shared" si="3"/>
        <v>1.2828345348279271</v>
      </c>
      <c r="K18" s="447">
        <f t="shared" si="3"/>
        <v>0.68967727273055024</v>
      </c>
      <c r="L18" s="455">
        <f t="shared" si="3"/>
        <v>1.0408775487178292</v>
      </c>
      <c r="N18" s="414"/>
      <c r="O18" s="597">
        <f>MAX(F18:L18)</f>
        <v>7.5212044409738672</v>
      </c>
      <c r="P18" s="598">
        <f>MEDIAN(F18:L18)</f>
        <v>1.0408775487178292</v>
      </c>
      <c r="Q18" s="452">
        <f>MIN(F18:L18)</f>
        <v>0.68967727273055024</v>
      </c>
    </row>
    <row r="19" spans="1:17" ht="16.5">
      <c r="A19" s="414"/>
      <c r="B19" s="430" t="s">
        <v>207</v>
      </c>
      <c r="D19" s="448">
        <f>D45/D56</f>
        <v>6.621143150889047</v>
      </c>
      <c r="F19" s="447">
        <f t="shared" ref="F19:L19" si="4">F45/F56</f>
        <v>12.212169811320754</v>
      </c>
      <c r="G19" s="447">
        <f t="shared" si="4"/>
        <v>30.696917742616829</v>
      </c>
      <c r="H19" s="447">
        <f t="shared" si="4"/>
        <v>6.225556017882993</v>
      </c>
      <c r="I19" s="447">
        <f t="shared" si="4"/>
        <v>4.4519814326922553</v>
      </c>
      <c r="J19" s="447">
        <f t="shared" si="4"/>
        <v>6.8768884033717619</v>
      </c>
      <c r="K19" s="447">
        <f t="shared" si="4"/>
        <v>4.6758734916789368</v>
      </c>
      <c r="L19" s="455">
        <f t="shared" si="4"/>
        <v>4.7633609786574223</v>
      </c>
      <c r="N19" s="414"/>
      <c r="O19" s="597">
        <f>MAX(F19:L19)</f>
        <v>30.696917742616829</v>
      </c>
      <c r="P19" s="598">
        <f>MEDIAN(F19:L19)</f>
        <v>6.225556017882993</v>
      </c>
      <c r="Q19" s="452">
        <f>MIN(F19:L19)</f>
        <v>4.4519814326922553</v>
      </c>
    </row>
    <row r="20" spans="1:17" ht="16.5">
      <c r="A20" s="414"/>
      <c r="B20" s="430" t="s">
        <v>357</v>
      </c>
      <c r="C20" s="414"/>
      <c r="D20" s="551">
        <f>D42/D49</f>
        <v>0.93987145592910393</v>
      </c>
      <c r="E20" s="552"/>
      <c r="F20" s="553">
        <f>F42/F49</f>
        <v>1.5751099234786834</v>
      </c>
      <c r="G20" s="553">
        <f>G42/G49</f>
        <v>7.3144310745197387</v>
      </c>
      <c r="H20" s="553">
        <f>H42/H49</f>
        <v>1.0073425886412946</v>
      </c>
      <c r="I20" s="553">
        <f t="shared" ref="I20" si="5">I42/I49</f>
        <v>0.83527407792925257</v>
      </c>
      <c r="J20" s="553">
        <f>J42/J49</f>
        <v>1.2040330618167523</v>
      </c>
      <c r="K20" s="553">
        <f>K42/K49</f>
        <v>0.52677914877018062</v>
      </c>
      <c r="L20" s="566">
        <f>L42/L49</f>
        <v>1.0229291354846743</v>
      </c>
      <c r="N20" s="414"/>
      <c r="O20" s="597">
        <f>MAX(F20:L20)</f>
        <v>7.3144310745197387</v>
      </c>
      <c r="P20" s="598">
        <f>MEDIAN(F20:L20)</f>
        <v>1.0229291354846743</v>
      </c>
      <c r="Q20" s="452">
        <f>MIN(F20:L20)</f>
        <v>0.52677914877018062</v>
      </c>
    </row>
    <row r="21" spans="1:17" ht="16.5">
      <c r="A21" s="414"/>
      <c r="B21" s="430" t="s">
        <v>377</v>
      </c>
      <c r="C21" s="414"/>
      <c r="D21" s="453">
        <f>D15/D14</f>
        <v>0.27417594947960455</v>
      </c>
      <c r="E21" s="447"/>
      <c r="F21" s="454">
        <f t="shared" ref="F21:L21" si="6">F15/F14</f>
        <v>5.3979524795109144E-4</v>
      </c>
      <c r="G21" s="454">
        <f t="shared" si="6"/>
        <v>8.7358006339950306E-2</v>
      </c>
      <c r="H21" s="454">
        <f t="shared" si="6"/>
        <v>0.76557751415310016</v>
      </c>
      <c r="I21" s="454">
        <f t="shared" si="6"/>
        <v>0.71923064844535189</v>
      </c>
      <c r="J21" s="454">
        <f t="shared" si="6"/>
        <v>0.53013016340832619</v>
      </c>
      <c r="K21" s="454">
        <f t="shared" si="6"/>
        <v>1.0310713586422007</v>
      </c>
      <c r="L21" s="567">
        <f t="shared" si="6"/>
        <v>0.5592678126379812</v>
      </c>
      <c r="N21" s="414"/>
      <c r="O21" s="447"/>
      <c r="P21" s="447"/>
      <c r="Q21" s="455"/>
    </row>
    <row r="22" spans="1:17" ht="16.5">
      <c r="A22" s="414"/>
      <c r="B22" s="430"/>
      <c r="C22" s="430"/>
      <c r="D22" s="456"/>
      <c r="E22" s="447"/>
      <c r="F22" s="447"/>
      <c r="G22" s="447"/>
      <c r="H22" s="447"/>
      <c r="I22" s="447"/>
      <c r="J22" s="457">
        <f>J45/J56</f>
        <v>6.8768884033717619</v>
      </c>
      <c r="K22" s="457">
        <f>K45/K56</f>
        <v>4.6758734916789368</v>
      </c>
      <c r="L22" s="568">
        <f>L45/L56</f>
        <v>4.7633609786574223</v>
      </c>
      <c r="N22" s="414"/>
      <c r="O22" s="447"/>
      <c r="P22" s="447"/>
      <c r="Q22" s="455"/>
    </row>
    <row r="23" spans="1:17" ht="17.25" thickBot="1">
      <c r="A23" s="414"/>
      <c r="B23" s="434" t="s">
        <v>359</v>
      </c>
      <c r="C23" s="429"/>
      <c r="D23" s="446"/>
      <c r="E23" s="407"/>
      <c r="F23" s="407"/>
      <c r="G23" s="407"/>
      <c r="H23" s="407"/>
      <c r="I23" s="407"/>
      <c r="J23" s="407"/>
      <c r="K23" s="407"/>
      <c r="L23" s="429"/>
      <c r="N23" s="414"/>
      <c r="O23" s="407"/>
      <c r="P23" s="407"/>
      <c r="Q23" s="429"/>
    </row>
    <row r="24" spans="1:17" ht="16.5">
      <c r="A24" s="414"/>
      <c r="B24" s="430" t="s">
        <v>378</v>
      </c>
      <c r="C24" s="414"/>
      <c r="D24" s="453">
        <f>D50/D49</f>
        <v>0.34893551599807288</v>
      </c>
      <c r="E24" s="458"/>
      <c r="F24" s="454">
        <f t="shared" ref="F24:L24" si="7">F50/F49</f>
        <v>0.3252763269768007</v>
      </c>
      <c r="G24" s="454">
        <f t="shared" si="7"/>
        <v>0.37155956721615213</v>
      </c>
      <c r="H24" s="454">
        <f t="shared" si="7"/>
        <v>0.15415401822093897</v>
      </c>
      <c r="I24" s="454">
        <f t="shared" si="7"/>
        <v>0.26188882787975287</v>
      </c>
      <c r="J24" s="454">
        <f t="shared" si="7"/>
        <v>0.27186826146526455</v>
      </c>
      <c r="K24" s="454">
        <f t="shared" si="7"/>
        <v>0.23299216748587329</v>
      </c>
      <c r="L24" s="567">
        <f t="shared" si="7"/>
        <v>0.30355406629451648</v>
      </c>
      <c r="N24" s="414"/>
      <c r="O24" s="459">
        <f>MAX(F24:L24)</f>
        <v>0.37155956721615213</v>
      </c>
      <c r="P24" s="460">
        <f>MEDIAN(F24:L24)</f>
        <v>0.27186826146526455</v>
      </c>
      <c r="Q24" s="461">
        <f>MIN(F24:L24)</f>
        <v>0.15415401822093897</v>
      </c>
    </row>
    <row r="25" spans="1:17" ht="16.5">
      <c r="A25" s="414"/>
      <c r="B25" s="430" t="s">
        <v>297</v>
      </c>
      <c r="C25" s="414"/>
      <c r="D25" s="453">
        <f>D56/D49</f>
        <v>0.16877658215060931</v>
      </c>
      <c r="E25" s="458"/>
      <c r="F25" s="454">
        <f t="shared" ref="F25:L25" si="8">F56/F49</f>
        <v>0.15450018219361109</v>
      </c>
      <c r="G25" s="454">
        <f t="shared" si="8"/>
        <v>0.24501497199284294</v>
      </c>
      <c r="H25" s="454">
        <f t="shared" si="8"/>
        <v>0.1581139100257031</v>
      </c>
      <c r="I25" s="454">
        <f t="shared" si="8"/>
        <v>0.20514303273795154</v>
      </c>
      <c r="J25" s="454">
        <f t="shared" si="8"/>
        <v>0.1865428751466941</v>
      </c>
      <c r="K25" s="454">
        <f t="shared" si="8"/>
        <v>0.14749699151567763</v>
      </c>
      <c r="L25" s="567">
        <f t="shared" si="8"/>
        <v>0.21851746138526035</v>
      </c>
      <c r="N25" s="414"/>
      <c r="O25" s="459">
        <f t="shared" ref="O25:O28" si="9">MAX(F25:L25)</f>
        <v>0.24501497199284294</v>
      </c>
      <c r="P25" s="460">
        <f t="shared" ref="P25:P28" si="10">MEDIAN(F25:L25)</f>
        <v>0.1865428751466941</v>
      </c>
      <c r="Q25" s="461">
        <f t="shared" ref="Q25:Q28" si="11">MIN(F25:L25)</f>
        <v>0.14749699151567763</v>
      </c>
    </row>
    <row r="26" spans="1:17" ht="16.5">
      <c r="A26" s="414"/>
      <c r="B26" s="430" t="s">
        <v>360</v>
      </c>
      <c r="C26" s="414"/>
      <c r="D26" s="453">
        <f>D51/D49</f>
        <v>0.13948279315697953</v>
      </c>
      <c r="E26" s="458"/>
      <c r="F26" s="454">
        <f t="shared" ref="F26:L26" si="12">F51/F49</f>
        <v>0.13700959553018341</v>
      </c>
      <c r="G26" s="454">
        <f t="shared" si="12"/>
        <v>0.19716608151896556</v>
      </c>
      <c r="H26" s="454">
        <f t="shared" si="12"/>
        <v>0.15481542066206033</v>
      </c>
      <c r="I26" s="454">
        <f t="shared" si="12"/>
        <v>0.19786329536918201</v>
      </c>
      <c r="J26" s="454">
        <f t="shared" si="12"/>
        <v>0.18390093595176293</v>
      </c>
      <c r="K26" s="454">
        <f t="shared" si="12"/>
        <v>0.14251541735554768</v>
      </c>
      <c r="L26" s="567">
        <f t="shared" si="12"/>
        <v>0.21399444403770357</v>
      </c>
      <c r="N26" s="414"/>
      <c r="O26" s="459">
        <f t="shared" si="9"/>
        <v>0.21399444403770357</v>
      </c>
      <c r="P26" s="460">
        <f t="shared" si="10"/>
        <v>0.18390093595176293</v>
      </c>
      <c r="Q26" s="461">
        <f t="shared" si="11"/>
        <v>0.13700959553018341</v>
      </c>
    </row>
    <row r="27" spans="1:17" ht="16.5">
      <c r="A27" s="414"/>
      <c r="B27" s="430" t="s">
        <v>326</v>
      </c>
      <c r="C27" s="414"/>
      <c r="D27" s="453">
        <f>D52/D49</f>
        <v>0.10042100816610575</v>
      </c>
      <c r="E27" s="458"/>
      <c r="F27" s="454">
        <f t="shared" ref="F27:L27" si="13">F52/F49</f>
        <v>9.6805538685776751E-2</v>
      </c>
      <c r="G27" s="454">
        <f t="shared" si="13"/>
        <v>0.14620084400638642</v>
      </c>
      <c r="H27" s="454">
        <f t="shared" si="13"/>
        <v>0.11661843535573894</v>
      </c>
      <c r="I27" s="454">
        <f t="shared" si="13"/>
        <v>0.14663442913975996</v>
      </c>
      <c r="J27" s="454">
        <f t="shared" si="13"/>
        <v>0.14070494106220988</v>
      </c>
      <c r="K27" s="454">
        <f t="shared" si="13"/>
        <v>0.10983848278656669</v>
      </c>
      <c r="L27" s="567">
        <f t="shared" si="13"/>
        <v>0.16285921849871593</v>
      </c>
      <c r="N27" s="414"/>
      <c r="O27" s="459">
        <f t="shared" si="9"/>
        <v>0.16285921849871593</v>
      </c>
      <c r="P27" s="460">
        <f t="shared" si="10"/>
        <v>0.14070494106220988</v>
      </c>
      <c r="Q27" s="461">
        <f t="shared" si="11"/>
        <v>9.6805538685776751E-2</v>
      </c>
    </row>
    <row r="28" spans="1:17" ht="16.5">
      <c r="A28" s="414"/>
      <c r="B28" s="430" t="s">
        <v>405</v>
      </c>
      <c r="C28" s="414"/>
      <c r="D28" s="453">
        <f>D52/D46</f>
        <v>0.38969672929552246</v>
      </c>
      <c r="E28" s="458"/>
      <c r="F28" s="454">
        <f>F52/F46</f>
        <v>113.85714285714286</v>
      </c>
      <c r="G28" s="454">
        <f>G52/G46</f>
        <v>0.22880558117156488</v>
      </c>
      <c r="H28" s="454">
        <f>H52/H46</f>
        <v>0.15121707927497413</v>
      </c>
      <c r="I28" s="454">
        <f t="shared" ref="I28:L28" si="14">I52/I46</f>
        <v>0.24408369183610532</v>
      </c>
      <c r="J28" s="454">
        <f t="shared" si="14"/>
        <v>0.22043899412651763</v>
      </c>
      <c r="K28" s="454">
        <f t="shared" si="14"/>
        <v>0.20222610913844802</v>
      </c>
      <c r="L28" s="567">
        <f t="shared" si="14"/>
        <v>0.28467345524612248</v>
      </c>
      <c r="N28" s="414"/>
      <c r="O28" s="459">
        <f t="shared" si="9"/>
        <v>113.85714285714286</v>
      </c>
      <c r="P28" s="460">
        <f t="shared" si="10"/>
        <v>0.22880558117156488</v>
      </c>
      <c r="Q28" s="461">
        <f t="shared" si="11"/>
        <v>0.15121707927497413</v>
      </c>
    </row>
    <row r="29" spans="1:17" ht="16.5">
      <c r="A29" s="414"/>
      <c r="B29" s="430"/>
      <c r="C29" s="414"/>
      <c r="D29" s="453"/>
      <c r="E29" s="458"/>
      <c r="F29" s="454"/>
      <c r="G29" s="454"/>
      <c r="H29" s="454"/>
      <c r="I29" s="454"/>
      <c r="J29" s="454"/>
      <c r="K29" s="454"/>
      <c r="L29" s="567"/>
      <c r="N29" s="414"/>
      <c r="O29" s="462"/>
      <c r="P29" s="462"/>
      <c r="Q29" s="463"/>
    </row>
    <row r="30" spans="1:17" ht="17.25" thickBot="1">
      <c r="A30" s="414"/>
      <c r="B30" s="434" t="s">
        <v>379</v>
      </c>
      <c r="C30" s="429"/>
      <c r="D30" s="464"/>
      <c r="E30" s="465"/>
      <c r="F30" s="466"/>
      <c r="G30" s="466"/>
      <c r="H30" s="466"/>
      <c r="I30" s="466"/>
      <c r="J30" s="466"/>
      <c r="K30" s="466"/>
      <c r="L30" s="569"/>
      <c r="N30" s="414"/>
      <c r="O30" s="467"/>
      <c r="P30" s="467"/>
      <c r="Q30" s="468"/>
    </row>
    <row r="31" spans="1:17" ht="16.5">
      <c r="A31" s="414"/>
      <c r="B31" s="437" t="s">
        <v>380</v>
      </c>
      <c r="C31" s="414"/>
      <c r="D31" s="469">
        <f>D44/D56</f>
        <v>1.1749166623503104</v>
      </c>
      <c r="E31" s="458"/>
      <c r="F31" s="470">
        <f t="shared" ref="F31:L31" si="15">F44/F56</f>
        <v>2.3160377358490565</v>
      </c>
      <c r="G31" s="470">
        <f t="shared" si="15"/>
        <v>0.86159663057162339</v>
      </c>
      <c r="H31" s="470">
        <f t="shared" si="15"/>
        <v>0.62794722708821848</v>
      </c>
      <c r="I31" s="470">
        <f t="shared" si="15"/>
        <v>0.72786209123734003</v>
      </c>
      <c r="J31" s="470">
        <f t="shared" si="15"/>
        <v>0.94603012272220155</v>
      </c>
      <c r="K31" s="470">
        <f t="shared" si="15"/>
        <v>1.6490224143695995</v>
      </c>
      <c r="L31" s="570">
        <f t="shared" si="15"/>
        <v>0.54848020855925994</v>
      </c>
      <c r="N31" s="463"/>
      <c r="O31" s="784" t="s">
        <v>396</v>
      </c>
      <c r="P31" s="784"/>
      <c r="Q31" s="784"/>
    </row>
    <row r="32" spans="1:17" ht="16.5">
      <c r="A32" s="414"/>
      <c r="B32" s="559" t="s">
        <v>406</v>
      </c>
      <c r="C32" s="414"/>
      <c r="D32" s="469">
        <f>D44/D56</f>
        <v>1.1749166623503104</v>
      </c>
      <c r="E32" s="458"/>
      <c r="F32" s="470">
        <f>F44/F56</f>
        <v>2.3160377358490565</v>
      </c>
      <c r="G32" s="470">
        <f>G44/G56</f>
        <v>0.86159663057162339</v>
      </c>
      <c r="H32" s="470">
        <f>H44/H56</f>
        <v>0.62794722708821848</v>
      </c>
      <c r="I32" s="470">
        <f t="shared" ref="I32:L32" si="16">I44/I56</f>
        <v>0.72786209123734003</v>
      </c>
      <c r="J32" s="470">
        <f t="shared" si="16"/>
        <v>0.94603012272220155</v>
      </c>
      <c r="K32" s="470">
        <f t="shared" si="16"/>
        <v>1.6490224143695995</v>
      </c>
      <c r="L32" s="570">
        <f t="shared" si="16"/>
        <v>0.54848020855925994</v>
      </c>
      <c r="N32" s="560"/>
      <c r="O32" s="557" t="s">
        <v>262</v>
      </c>
      <c r="P32" s="554"/>
      <c r="Q32" s="558">
        <f>'Tear Sheet'!H10</f>
        <v>125.69</v>
      </c>
    </row>
    <row r="33" spans="1:17" ht="16.5">
      <c r="A33" s="414"/>
      <c r="B33" s="559" t="s">
        <v>407</v>
      </c>
      <c r="C33" s="414"/>
      <c r="D33" s="469">
        <f>(D44-D43)/D56</f>
        <v>1.0524117312042875</v>
      </c>
      <c r="E33" s="458"/>
      <c r="F33" s="470">
        <f>(F44-F43)/F56</f>
        <v>2.0172955974842766</v>
      </c>
      <c r="G33" s="470">
        <f>(G44-G43)/G56</f>
        <v>0.84392135212115893</v>
      </c>
      <c r="H33" s="470">
        <f>(H44-H43)/H56</f>
        <v>-0.14543682188385737</v>
      </c>
      <c r="I33" s="470">
        <f t="shared" ref="I33:L33" si="17">(I44-I43)/I56</f>
        <v>0.38031462158379964</v>
      </c>
      <c r="J33" s="470">
        <f t="shared" si="17"/>
        <v>0.42243089128548406</v>
      </c>
      <c r="K33" s="470">
        <f t="shared" si="17"/>
        <v>1.1044165869854696</v>
      </c>
      <c r="L33" s="570">
        <f t="shared" si="17"/>
        <v>8.2137203678705653E-2</v>
      </c>
      <c r="N33" s="561"/>
      <c r="O33" s="472" t="s">
        <v>221</v>
      </c>
      <c r="P33" s="556"/>
      <c r="Q33" s="555">
        <f>SUM('Operating Model'!AI21:AJ21,'Operating Model'!AM21:AN21)</f>
        <v>12.073713445394404</v>
      </c>
    </row>
    <row r="34" spans="1:17" ht="16.5">
      <c r="A34" s="414"/>
      <c r="B34" s="430" t="s">
        <v>361</v>
      </c>
      <c r="C34" s="414"/>
      <c r="D34" s="469">
        <f>D56/D54</f>
        <v>-17.235204002909605</v>
      </c>
      <c r="E34" s="458"/>
      <c r="F34" s="470">
        <f>F56/F54</f>
        <v>-11.45945945945946</v>
      </c>
      <c r="G34" s="470">
        <f>G56/G54</f>
        <v>72.716240875912405</v>
      </c>
      <c r="H34" s="470">
        <f>H56/H54</f>
        <v>-19.014262698332782</v>
      </c>
      <c r="I34" s="470">
        <f>I56/I54</f>
        <v>-14.244720803607397</v>
      </c>
      <c r="J34" s="470">
        <f>J56/J54</f>
        <v>-23.189363995688108</v>
      </c>
      <c r="K34" s="470"/>
      <c r="L34" s="570">
        <f>L56/L54</f>
        <v>-26.399247965018979</v>
      </c>
      <c r="N34" s="406"/>
      <c r="O34" s="471" t="s">
        <v>239</v>
      </c>
      <c r="P34" s="472"/>
      <c r="Q34" s="547">
        <f>SUM('Operating Model'!AI11:AJ11,'Operating Model'!AM11:AN11)</f>
        <v>2162783.8826094624</v>
      </c>
    </row>
    <row r="35" spans="1:17" ht="16.5">
      <c r="A35" s="406"/>
      <c r="B35" s="430" t="s">
        <v>381</v>
      </c>
      <c r="C35" s="414"/>
      <c r="D35" s="453">
        <f>D44/D46</f>
        <v>0.76952269806492279</v>
      </c>
      <c r="E35" s="458"/>
      <c r="F35" s="458">
        <f t="shared" ref="F35:L35" si="18">F44/F46</f>
        <v>420.85714285714283</v>
      </c>
      <c r="G35" s="458">
        <f t="shared" si="18"/>
        <v>0.3303796960827553</v>
      </c>
      <c r="H35" s="458">
        <f t="shared" si="18"/>
        <v>0.12874395923584978</v>
      </c>
      <c r="I35" s="458">
        <f t="shared" si="18"/>
        <v>0.24854709028662569</v>
      </c>
      <c r="J35" s="458">
        <f t="shared" si="18"/>
        <v>0.27647935224138792</v>
      </c>
      <c r="K35" s="458">
        <f t="shared" si="18"/>
        <v>0.44780859167785747</v>
      </c>
      <c r="L35" s="567">
        <f t="shared" si="18"/>
        <v>0.20949889361439047</v>
      </c>
      <c r="N35" s="406"/>
      <c r="O35" s="473" t="s">
        <v>219</v>
      </c>
      <c r="P35" s="474"/>
      <c r="Q35" s="548">
        <f>SUM('Operating Model'!AI9:AJ9,'Operating Model'!AM9:AN9)</f>
        <v>2721701.7904882301</v>
      </c>
    </row>
    <row r="36" spans="1:17" ht="17.25" thickBot="1">
      <c r="A36" s="406"/>
      <c r="B36" s="428" t="s">
        <v>362</v>
      </c>
      <c r="C36" s="429"/>
      <c r="D36" s="464">
        <f>D44/(D44+D46)</f>
        <v>0.43487585601837214</v>
      </c>
      <c r="E36" s="466"/>
      <c r="F36" s="466">
        <f t="shared" ref="F36:L36" si="19">F44/(F44+F46)</f>
        <v>0.99762952929224513</v>
      </c>
      <c r="G36" s="466">
        <f t="shared" si="19"/>
        <v>0.24833489044935356</v>
      </c>
      <c r="H36" s="466">
        <f t="shared" si="19"/>
        <v>0.11405948902974272</v>
      </c>
      <c r="I36" s="466">
        <f t="shared" si="19"/>
        <v>0.19906905572105205</v>
      </c>
      <c r="J36" s="466">
        <f t="shared" si="19"/>
        <v>0.21659524046034426</v>
      </c>
      <c r="K36" s="466">
        <f t="shared" si="19"/>
        <v>0.30930096302225596</v>
      </c>
      <c r="L36" s="569">
        <f t="shared" si="19"/>
        <v>0.1732113148018988</v>
      </c>
      <c r="N36" s="406"/>
      <c r="O36" s="471" t="s">
        <v>204</v>
      </c>
      <c r="P36" s="406"/>
      <c r="Q36" s="547">
        <f>SUM('Operating Model'!AI4:AJ4,'Operating Model'!AM4:AN4)</f>
        <v>17874884.25</v>
      </c>
    </row>
    <row r="37" spans="1:17" ht="16.5">
      <c r="A37" s="406"/>
      <c r="B37" s="475"/>
      <c r="C37" s="406"/>
      <c r="D37" s="475"/>
      <c r="E37" s="406"/>
      <c r="F37" s="406"/>
      <c r="G37" s="406"/>
      <c r="H37" s="406"/>
      <c r="I37" s="406"/>
      <c r="J37" s="406"/>
      <c r="K37" s="406"/>
      <c r="L37" s="406"/>
      <c r="N37" s="406"/>
      <c r="O37" s="473" t="s">
        <v>402</v>
      </c>
      <c r="P37" s="474"/>
      <c r="Q37" s="548">
        <f>SUM('Operating Model'!AI17:AJ17,'Operating Model'!AM17:AN17)</f>
        <v>1534100.0978916301</v>
      </c>
    </row>
    <row r="38" spans="1:17" ht="17.25" thickBot="1">
      <c r="A38" s="406"/>
      <c r="B38" s="476"/>
      <c r="C38" s="476"/>
      <c r="D38" s="476"/>
      <c r="E38" s="476"/>
      <c r="F38" s="476"/>
      <c r="G38" s="476"/>
      <c r="H38" s="476"/>
      <c r="I38" s="476"/>
      <c r="L38" s="476"/>
      <c r="N38" s="406"/>
      <c r="O38" s="471" t="s">
        <v>212</v>
      </c>
      <c r="P38" s="406"/>
      <c r="Q38" s="547">
        <v>419000</v>
      </c>
    </row>
    <row r="39" spans="1:17" ht="16.5">
      <c r="A39" s="574"/>
      <c r="B39" s="477" t="s">
        <v>399</v>
      </c>
      <c r="C39" s="478"/>
      <c r="D39" s="478"/>
      <c r="E39" s="478"/>
      <c r="F39" s="478"/>
      <c r="G39" s="478"/>
      <c r="H39" s="478"/>
      <c r="I39" s="478"/>
      <c r="J39" s="479"/>
      <c r="K39" s="480"/>
      <c r="L39" s="481"/>
      <c r="N39" s="406"/>
      <c r="O39" s="473" t="s">
        <v>403</v>
      </c>
      <c r="P39" s="474"/>
      <c r="Q39" s="548">
        <f>'Operating Model'!AN59</f>
        <v>3674714</v>
      </c>
    </row>
    <row r="40" spans="1:17" ht="16.5">
      <c r="A40" s="414"/>
      <c r="B40" s="475" t="s">
        <v>262</v>
      </c>
      <c r="C40" s="475"/>
      <c r="D40" s="527">
        <f>Beta!C1386</f>
        <v>136</v>
      </c>
      <c r="E40" s="528"/>
      <c r="F40" s="527">
        <v>57.38</v>
      </c>
      <c r="G40" s="527">
        <v>65.56</v>
      </c>
      <c r="H40" s="527">
        <v>119.09</v>
      </c>
      <c r="I40" s="527">
        <v>80.33</v>
      </c>
      <c r="J40" s="527">
        <v>121.69</v>
      </c>
      <c r="K40" s="529">
        <v>43.33</v>
      </c>
      <c r="L40" s="530">
        <v>77.680000000000007</v>
      </c>
      <c r="N40" s="406"/>
      <c r="O40" s="482" t="s">
        <v>404</v>
      </c>
      <c r="P40" s="483"/>
      <c r="Q40" s="549">
        <f>'Operating Model'!AN23</f>
        <v>126432.26129477844</v>
      </c>
    </row>
    <row r="41" spans="1:17" ht="18.75">
      <c r="A41" s="414"/>
      <c r="B41" s="484" t="s">
        <v>265</v>
      </c>
      <c r="C41" s="475"/>
      <c r="D41" s="485">
        <f>'Operating Model'!AH23</f>
        <v>128066</v>
      </c>
      <c r="E41" s="523"/>
      <c r="F41" s="486">
        <v>226000</v>
      </c>
      <c r="G41" s="486">
        <v>108871</v>
      </c>
      <c r="H41" s="486">
        <v>282854</v>
      </c>
      <c r="I41" s="492">
        <v>111123</v>
      </c>
      <c r="J41" s="487">
        <v>342300</v>
      </c>
      <c r="K41" s="487">
        <v>84306</v>
      </c>
      <c r="L41" s="544">
        <v>223392</v>
      </c>
      <c r="N41" s="406"/>
    </row>
    <row r="42" spans="1:17" ht="16.5">
      <c r="A42" s="414"/>
      <c r="B42" s="412" t="s">
        <v>363</v>
      </c>
      <c r="C42" s="412"/>
      <c r="D42" s="541">
        <f>D40*D41</f>
        <v>17416976</v>
      </c>
      <c r="E42" s="542">
        <f t="shared" ref="E42:H42" si="20">E40*E41</f>
        <v>0</v>
      </c>
      <c r="F42" s="542">
        <f t="shared" si="20"/>
        <v>12967880</v>
      </c>
      <c r="G42" s="542">
        <f t="shared" si="20"/>
        <v>7137582.7600000007</v>
      </c>
      <c r="H42" s="542">
        <f t="shared" si="20"/>
        <v>33685082.859999999</v>
      </c>
      <c r="I42" s="543">
        <f>I40*I41</f>
        <v>8926510.5899999999</v>
      </c>
      <c r="J42" s="543">
        <f t="shared" ref="J42:L42" si="21">J40*J41</f>
        <v>41654487</v>
      </c>
      <c r="K42" s="543">
        <f t="shared" si="21"/>
        <v>3652978.98</v>
      </c>
      <c r="L42" s="488">
        <f t="shared" si="21"/>
        <v>17353090.560000002</v>
      </c>
      <c r="N42" s="406"/>
    </row>
    <row r="43" spans="1:17" ht="16.5">
      <c r="A43" s="414"/>
      <c r="B43" s="484" t="s">
        <v>364</v>
      </c>
      <c r="C43" s="475"/>
      <c r="D43" s="489">
        <f>'Operating Model'!AI35</f>
        <v>383151.07783968444</v>
      </c>
      <c r="E43" s="490"/>
      <c r="F43" s="489">
        <v>380000</v>
      </c>
      <c r="G43" s="489">
        <v>4226</v>
      </c>
      <c r="H43" s="489">
        <v>4089081</v>
      </c>
      <c r="I43" s="489">
        <v>761945</v>
      </c>
      <c r="J43" s="491">
        <v>3379100</v>
      </c>
      <c r="K43" s="491">
        <v>557037</v>
      </c>
      <c r="L43" s="545">
        <v>1728713</v>
      </c>
      <c r="N43" s="406"/>
    </row>
    <row r="44" spans="1:17" ht="18.75">
      <c r="A44" s="414"/>
      <c r="B44" s="484" t="s">
        <v>382</v>
      </c>
      <c r="C44" s="475"/>
      <c r="D44" s="492">
        <f>'Operating Model'!AI59</f>
        <v>3674714</v>
      </c>
      <c r="E44" s="522"/>
      <c r="F44" s="492">
        <v>2946000</v>
      </c>
      <c r="G44" s="492">
        <v>206000</v>
      </c>
      <c r="H44" s="492">
        <v>3320119</v>
      </c>
      <c r="I44" s="492">
        <v>1595727</v>
      </c>
      <c r="J44" s="487">
        <v>6105300</v>
      </c>
      <c r="K44" s="487">
        <v>1686663</v>
      </c>
      <c r="L44" s="544">
        <v>2033192</v>
      </c>
      <c r="N44" s="406"/>
      <c r="P44"/>
    </row>
    <row r="45" spans="1:17" ht="16.5">
      <c r="A45" s="414"/>
      <c r="B45" s="412" t="s">
        <v>258</v>
      </c>
      <c r="C45" s="412"/>
      <c r="D45" s="540">
        <f>D42-D43+D44</f>
        <v>20708538.922160316</v>
      </c>
      <c r="E45" s="540">
        <f t="shared" ref="E45:H45" si="22">E42-E43+E44</f>
        <v>0</v>
      </c>
      <c r="F45" s="540">
        <f t="shared" si="22"/>
        <v>15533880</v>
      </c>
      <c r="G45" s="540">
        <f t="shared" si="22"/>
        <v>7339356.7600000007</v>
      </c>
      <c r="H45" s="540">
        <f t="shared" si="22"/>
        <v>32916120.859999999</v>
      </c>
      <c r="I45" s="543">
        <f>I42-I43+I44</f>
        <v>9760292.5899999999</v>
      </c>
      <c r="J45" s="543">
        <f>J42-J43+J44</f>
        <v>44380687</v>
      </c>
      <c r="K45" s="543">
        <f t="shared" ref="K45:L45" si="23">K42-K43+K44</f>
        <v>4782604.9800000004</v>
      </c>
      <c r="L45" s="488">
        <f t="shared" si="23"/>
        <v>17657569.560000002</v>
      </c>
      <c r="N45" s="406"/>
    </row>
    <row r="46" spans="1:17" ht="17.25" thickBot="1">
      <c r="A46" s="414"/>
      <c r="B46" s="531" t="s">
        <v>383</v>
      </c>
      <c r="C46" s="532"/>
      <c r="D46" s="533">
        <f>'Operating Model'!AI67</f>
        <v>4775315.9318634849</v>
      </c>
      <c r="E46" s="534"/>
      <c r="F46" s="533">
        <v>7000</v>
      </c>
      <c r="G46" s="533">
        <v>623525</v>
      </c>
      <c r="H46" s="533">
        <v>25788542</v>
      </c>
      <c r="I46" s="534">
        <v>6420220</v>
      </c>
      <c r="J46" s="533">
        <v>22082300</v>
      </c>
      <c r="K46" s="533">
        <v>3766482</v>
      </c>
      <c r="L46" s="546">
        <v>9705025</v>
      </c>
      <c r="N46" s="406"/>
    </row>
    <row r="47" spans="1:17" ht="17.25" thickBot="1">
      <c r="A47" s="406"/>
      <c r="B47" s="415"/>
      <c r="C47" s="415"/>
      <c r="D47" s="538"/>
      <c r="E47" s="538"/>
      <c r="F47" s="538"/>
      <c r="G47" s="538"/>
      <c r="H47" s="538"/>
      <c r="I47" s="538"/>
      <c r="J47" s="538"/>
      <c r="K47" s="538"/>
      <c r="L47" s="538"/>
      <c r="N47" s="406"/>
      <c r="O47" s="406"/>
      <c r="P47" s="406"/>
      <c r="Q47" s="406"/>
    </row>
    <row r="48" spans="1:17" ht="16.5">
      <c r="A48" s="414"/>
      <c r="B48" s="477" t="s">
        <v>384</v>
      </c>
      <c r="C48" s="478"/>
      <c r="D48" s="535"/>
      <c r="E48" s="536"/>
      <c r="F48" s="535"/>
      <c r="G48" s="535"/>
      <c r="H48" s="535"/>
      <c r="I48" s="535"/>
      <c r="J48" s="535"/>
      <c r="K48" s="536"/>
      <c r="L48" s="537"/>
      <c r="N48" s="406"/>
      <c r="O48" s="406"/>
      <c r="P48" s="406"/>
      <c r="Q48" s="406"/>
    </row>
    <row r="49" spans="1:17" ht="16.5">
      <c r="A49" s="414"/>
      <c r="B49" s="406" t="s">
        <v>365</v>
      </c>
      <c r="C49" s="406"/>
      <c r="D49" s="413">
        <f>SUM('Operating Model'!AC4:AD4,'Operating Model'!AG4:AH4)</f>
        <v>18531232</v>
      </c>
      <c r="E49" s="494"/>
      <c r="F49" s="413">
        <f>8680000-4553000+4106000</f>
        <v>8233000</v>
      </c>
      <c r="G49" s="413">
        <f>1106043-725477+595256</f>
        <v>975822</v>
      </c>
      <c r="H49" s="413">
        <f>33671010-23496643+23265183</f>
        <v>33439550</v>
      </c>
      <c r="I49" s="495">
        <f>10275558-6563424+6974790</f>
        <v>10686924</v>
      </c>
      <c r="J49" s="413">
        <f>33480000-23840600+24956400</f>
        <v>34595800</v>
      </c>
      <c r="K49" s="493">
        <f>6903776-3118851+3149630</f>
        <v>6934555</v>
      </c>
      <c r="L49" s="496">
        <f>16228995-7029271+7764394</f>
        <v>16964118</v>
      </c>
      <c r="N49" s="406"/>
      <c r="O49" s="406"/>
      <c r="P49" s="406"/>
      <c r="Q49" s="406"/>
    </row>
    <row r="50" spans="1:17" ht="16.5">
      <c r="A50" s="414"/>
      <c r="B50" s="406" t="s">
        <v>385</v>
      </c>
      <c r="C50" s="406"/>
      <c r="D50" s="413">
        <f>SUM('Operating Model'!AC6:AD6,'Operating Model'!AG6:AH6)</f>
        <v>6466205</v>
      </c>
      <c r="E50" s="493"/>
      <c r="F50" s="413">
        <f>2713000-1473000+1438000</f>
        <v>2678000</v>
      </c>
      <c r="G50" s="413">
        <f>403989-292289+250876</f>
        <v>362576</v>
      </c>
      <c r="H50" s="413">
        <v>5154841</v>
      </c>
      <c r="I50" s="495">
        <v>2798786</v>
      </c>
      <c r="J50" s="413">
        <v>9405500</v>
      </c>
      <c r="K50" s="493">
        <v>1615697</v>
      </c>
      <c r="L50" s="496">
        <v>5149527</v>
      </c>
      <c r="N50" s="406"/>
      <c r="O50" s="406"/>
      <c r="P50" s="406"/>
      <c r="Q50" s="406"/>
    </row>
    <row r="51" spans="1:17" ht="16.5">
      <c r="A51" s="414"/>
      <c r="B51" s="406" t="s">
        <v>366</v>
      </c>
      <c r="C51" s="409"/>
      <c r="D51" s="497">
        <f>SUM('Operating Model'!AC11:AD11,'Operating Model'!AG11:AH11)</f>
        <v>2584788</v>
      </c>
      <c r="E51" s="413"/>
      <c r="F51" s="497">
        <f>1193000-724000+659000</f>
        <v>1128000</v>
      </c>
      <c r="G51" s="497">
        <f>246838-212864+158425</f>
        <v>192399</v>
      </c>
      <c r="H51" s="497">
        <f>6014566-4255843+3418235</f>
        <v>5176958</v>
      </c>
      <c r="I51" s="495">
        <f>1703726-826581+1237405</f>
        <v>2114550</v>
      </c>
      <c r="J51" s="413">
        <f>7629700-5563900+4296400</f>
        <v>6362200</v>
      </c>
      <c r="K51" s="493">
        <f>1072066-460927+377142</f>
        <v>988281</v>
      </c>
      <c r="L51" s="496">
        <f>3439558-1464466+1655135</f>
        <v>3630227</v>
      </c>
      <c r="N51" s="406"/>
      <c r="O51" s="406"/>
      <c r="P51" s="406"/>
      <c r="Q51" s="406"/>
    </row>
    <row r="52" spans="1:17" ht="16.5">
      <c r="A52" s="414"/>
      <c r="B52" s="406" t="s">
        <v>367</v>
      </c>
      <c r="C52" s="406"/>
      <c r="D52" s="413">
        <f>SUM('Operating Model'!AC17:AD17,'Operating Model'!AG17:AH17)</f>
        <v>1860925</v>
      </c>
      <c r="E52" s="413"/>
      <c r="F52" s="413">
        <f>844000-546000+499000</f>
        <v>797000</v>
      </c>
      <c r="G52" s="413">
        <f>184626-160127+118167</f>
        <v>142666</v>
      </c>
      <c r="H52" s="413">
        <f>4614125-3291681+2577224</f>
        <v>3899668</v>
      </c>
      <c r="I52" s="495">
        <f>1286500-645964+926535</f>
        <v>1567071</v>
      </c>
      <c r="J52" s="413">
        <f>5857500-4225700+3236000</f>
        <v>4867800</v>
      </c>
      <c r="K52" s="493">
        <f>816666-344927+289942</f>
        <v>761681</v>
      </c>
      <c r="L52" s="496">
        <f>2617317-1107158+1252604</f>
        <v>2762763</v>
      </c>
      <c r="N52" s="406"/>
      <c r="O52" s="406"/>
      <c r="P52" s="406"/>
      <c r="Q52" s="406"/>
    </row>
    <row r="53" spans="1:17" ht="16.5">
      <c r="A53" s="414"/>
      <c r="B53" s="406" t="s">
        <v>368</v>
      </c>
      <c r="C53" s="406"/>
      <c r="D53" s="508">
        <f>SUM('Operating Model'!AC21:AD21,'Operating Model'!AG21:AH21)</f>
        <v>13.076478707258209</v>
      </c>
      <c r="E53" s="498"/>
      <c r="F53" s="524">
        <f>3.63-2.15+2.07</f>
        <v>3.55</v>
      </c>
      <c r="G53" s="524">
        <f>1.65-1.4+1.09</f>
        <v>1.34</v>
      </c>
      <c r="H53" s="524">
        <f>15.72-11.18+8.94</f>
        <v>13.48</v>
      </c>
      <c r="I53" s="516">
        <f>10.9-5.41+8.28</f>
        <v>13.77</v>
      </c>
      <c r="J53" s="524">
        <f>16.51-11.85+9.39</f>
        <v>14.050000000000002</v>
      </c>
      <c r="K53" s="525">
        <f>9.09-3.79+3.38</f>
        <v>8.68</v>
      </c>
      <c r="L53" s="526">
        <f>11.01-4.56+5.58</f>
        <v>12.030000000000001</v>
      </c>
      <c r="N53" s="406"/>
      <c r="O53" s="406"/>
      <c r="P53" s="406"/>
      <c r="Q53" s="406"/>
    </row>
    <row r="54" spans="1:17" ht="16.5">
      <c r="A54" s="414"/>
      <c r="B54" s="406" t="s">
        <v>369</v>
      </c>
      <c r="C54" s="406"/>
      <c r="D54" s="413">
        <f>-SUM('Operating Model'!AC13:AD13,'Operating Model'!AG13:AH13)</f>
        <v>-181468</v>
      </c>
      <c r="E54" s="413"/>
      <c r="F54" s="413">
        <f>(108000-53000+56000)*-1</f>
        <v>-111000</v>
      </c>
      <c r="G54" s="413">
        <f>(103-104+3289)</f>
        <v>3288</v>
      </c>
      <c r="H54" s="413">
        <f>(312731-180869+146206)*-1</f>
        <v>-278068</v>
      </c>
      <c r="I54" s="495">
        <f>-164831--110567+-99642</f>
        <v>-153906</v>
      </c>
      <c r="J54" s="413">
        <f>237400-227900+287800*-1</f>
        <v>-278300</v>
      </c>
      <c r="K54" s="493">
        <v>0</v>
      </c>
      <c r="L54" s="496">
        <f>(153545-72123+58997)*-1</f>
        <v>-140419</v>
      </c>
      <c r="N54" s="406"/>
      <c r="O54" s="406"/>
      <c r="P54" s="406"/>
      <c r="Q54" s="406"/>
    </row>
    <row r="55" spans="1:17" ht="16.5">
      <c r="A55" s="414"/>
      <c r="B55" s="406" t="s">
        <v>370</v>
      </c>
      <c r="C55" s="409"/>
      <c r="D55" s="500">
        <f>SUM('Operating Model'!AC10:AD10,'Operating Model'!AG10:AH10)</f>
        <v>542850</v>
      </c>
      <c r="E55" s="411"/>
      <c r="F55" s="500">
        <f>145000-71000+70000</f>
        <v>144000</v>
      </c>
      <c r="G55" s="500">
        <f>44298-21804+24198</f>
        <v>46692</v>
      </c>
      <c r="H55" s="500">
        <f>87075-57921+81146</f>
        <v>110300</v>
      </c>
      <c r="I55" s="501">
        <f>76816-53267+54249</f>
        <v>77798</v>
      </c>
      <c r="J55" s="500">
        <f>81400-60200+70200</f>
        <v>91400</v>
      </c>
      <c r="K55" s="502">
        <f>32319-15534+17760</f>
        <v>34545</v>
      </c>
      <c r="L55" s="503">
        <f>70918-33393+39204</f>
        <v>76729</v>
      </c>
      <c r="N55" s="406"/>
      <c r="O55" s="406"/>
      <c r="P55" s="406"/>
      <c r="Q55" s="406"/>
    </row>
    <row r="56" spans="1:17" ht="33.75" customHeight="1" thickBot="1">
      <c r="A56" s="499"/>
      <c r="B56" s="517" t="s">
        <v>371</v>
      </c>
      <c r="C56" s="521"/>
      <c r="D56" s="518">
        <f>D51+D55</f>
        <v>3127638</v>
      </c>
      <c r="E56" s="518">
        <f t="shared" ref="E56:H56" si="24">E51+E55</f>
        <v>0</v>
      </c>
      <c r="F56" s="518">
        <f t="shared" si="24"/>
        <v>1272000</v>
      </c>
      <c r="G56" s="518">
        <f t="shared" si="24"/>
        <v>239091</v>
      </c>
      <c r="H56" s="518">
        <f t="shared" si="24"/>
        <v>5287258</v>
      </c>
      <c r="I56" s="519">
        <f>I51+I55</f>
        <v>2192348</v>
      </c>
      <c r="J56" s="519">
        <f t="shared" ref="J56:L56" si="25">J51+J55</f>
        <v>6453600</v>
      </c>
      <c r="K56" s="519">
        <f t="shared" si="25"/>
        <v>1022826</v>
      </c>
      <c r="L56" s="520">
        <f t="shared" si="25"/>
        <v>3706956</v>
      </c>
      <c r="O56" s="406"/>
      <c r="P56" s="406"/>
      <c r="Q56" s="406"/>
    </row>
    <row r="58" spans="1:17" hidden="1">
      <c r="B58" s="408" t="s">
        <v>400</v>
      </c>
      <c r="H58" s="408">
        <f>26949763-17241788+18576734</f>
        <v>28284709</v>
      </c>
      <c r="I58" s="408">
        <f>7789179-5041654+5140613</f>
        <v>7888138</v>
      </c>
      <c r="J58" s="408">
        <f>22975900-16214900+18429300</f>
        <v>25190300</v>
      </c>
      <c r="K58" s="408">
        <f>5213343-2363864+2469379</f>
        <v>5318858</v>
      </c>
      <c r="L58" s="408">
        <f>11213801-4727900+5328690</f>
        <v>11814591</v>
      </c>
    </row>
    <row r="59" spans="1:17" hidden="1">
      <c r="B59" s="408" t="s">
        <v>98</v>
      </c>
      <c r="F59" s="515"/>
      <c r="G59" s="515"/>
      <c r="H59" s="515">
        <f>H49-H58</f>
        <v>5154841</v>
      </c>
      <c r="I59" s="515">
        <f>I49-I58</f>
        <v>2798786</v>
      </c>
      <c r="J59" s="515">
        <f>J49-J58</f>
        <v>9405500</v>
      </c>
      <c r="K59" s="515">
        <f>K49-K58</f>
        <v>1615697</v>
      </c>
      <c r="L59" s="515">
        <f>L49-L58</f>
        <v>5149527</v>
      </c>
    </row>
    <row r="60" spans="1:17" ht="30.75" hidden="1">
      <c r="B60" s="408" t="s">
        <v>401</v>
      </c>
      <c r="D60" s="408" t="s">
        <v>398</v>
      </c>
      <c r="L60" s="411"/>
    </row>
    <row r="61" spans="1:17" hidden="1"/>
  </sheetData>
  <mergeCells count="1">
    <mergeCell ref="O31:Q31"/>
  </mergeCells>
  <conditionalFormatting sqref="D10:D11">
    <cfRule type="containsText" dxfId="7" priority="6" operator="containsText" text="&quot;&quot;">
      <formula>NOT(ISERROR(SEARCH("""""",D10)))</formula>
    </cfRule>
  </conditionalFormatting>
  <conditionalFormatting sqref="F40:I40 D40:D41 J40:L41 I41 D43:D44 F43:I44 J44:L44 D46 F46:L46 D49:D56 F49:L56 E56">
    <cfRule type="cellIs" dxfId="6" priority="7" operator="lessThan">
      <formula>0</formula>
    </cfRule>
  </conditionalFormatting>
  <conditionalFormatting sqref="F40:I40 D40:E41 J40:L41 I41 D43:I44 J44:L44 D46:L46 D49:L56">
    <cfRule type="cellIs" dxfId="5" priority="8" operator="greaterThan">
      <formula>0</formula>
    </cfRule>
  </conditionalFormatting>
  <conditionalFormatting sqref="I10">
    <cfRule type="containsText" dxfId="4" priority="5" operator="containsText" text="&quot;&quot;">
      <formula>NOT(ISERROR(SEARCH("""""",I10)))</formula>
    </cfRule>
  </conditionalFormatting>
  <conditionalFormatting sqref="L60">
    <cfRule type="cellIs" dxfId="3" priority="3" operator="lessThan">
      <formula>0</formula>
    </cfRule>
    <cfRule type="cellIs" dxfId="2" priority="4" operator="greaterThan">
      <formula>0</formula>
    </cfRule>
  </conditionalFormatting>
  <conditionalFormatting sqref="O10:Q13">
    <cfRule type="cellIs" dxfId="1" priority="1" operator="lessThan">
      <formula>#REF!</formula>
    </cfRule>
    <cfRule type="cellIs" dxfId="0" priority="2" operator="greaterThan">
      <formula>#REF!</formula>
    </cfRule>
  </conditionalFormatting>
  <dataValidations count="1">
    <dataValidation type="list" allowBlank="1" showInputMessage="1" showErrorMessage="1" sqref="D13 F13:L13" xr:uid="{1D171DC0-19BB-4106-A58B-618872A9D5AC}">
      <formula1>"Thousands,Millions"</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C6AB-9F0D-4071-A5C2-01E5D20837BE}">
  <sheetPr>
    <tabColor rgb="FF002060"/>
  </sheetPr>
  <dimension ref="A1:AQ48"/>
  <sheetViews>
    <sheetView showGridLines="0" zoomScale="85" zoomScaleNormal="85" workbookViewId="0"/>
  </sheetViews>
  <sheetFormatPr defaultColWidth="12.7109375" defaultRowHeight="16.5"/>
  <cols>
    <col min="1" max="1" width="1.7109375" style="18" customWidth="1"/>
    <col min="2" max="2" width="54.42578125" style="18" bestFit="1" customWidth="1"/>
    <col min="3" max="16384" width="12.7109375" style="18"/>
  </cols>
  <sheetData>
    <row r="1" spans="2:43" ht="9.9499999999999993" customHeight="1"/>
    <row r="2" spans="2:43" ht="17.25" thickBot="1">
      <c r="B2" s="619" t="s">
        <v>458</v>
      </c>
      <c r="C2" s="290"/>
      <c r="D2" s="290"/>
      <c r="E2" s="290"/>
      <c r="F2" s="290"/>
      <c r="G2" s="290"/>
      <c r="H2" s="290"/>
      <c r="I2" s="290"/>
      <c r="J2" s="290"/>
      <c r="K2" s="290"/>
      <c r="L2" s="290"/>
      <c r="M2" s="290"/>
      <c r="N2" s="290"/>
      <c r="O2" s="290"/>
      <c r="P2" s="290"/>
      <c r="Q2" s="290"/>
      <c r="R2" s="290"/>
      <c r="S2" s="290"/>
      <c r="T2" s="290"/>
    </row>
    <row r="3" spans="2:43">
      <c r="U3"/>
      <c r="V3"/>
      <c r="W3"/>
      <c r="X3"/>
      <c r="Y3"/>
      <c r="Z3"/>
      <c r="AA3"/>
      <c r="AB3"/>
      <c r="AC3"/>
      <c r="AD3"/>
      <c r="AE3"/>
      <c r="AF3"/>
      <c r="AG3"/>
      <c r="AH3"/>
      <c r="AI3"/>
      <c r="AJ3"/>
      <c r="AK3"/>
      <c r="AL3"/>
      <c r="AM3"/>
      <c r="AN3"/>
      <c r="AO3"/>
      <c r="AP3"/>
      <c r="AQ3"/>
    </row>
    <row r="4" spans="2:43">
      <c r="B4" s="202"/>
      <c r="C4" s="785">
        <v>2023</v>
      </c>
      <c r="D4" s="785"/>
      <c r="E4" s="785">
        <f>C4+1</f>
        <v>2024</v>
      </c>
      <c r="F4" s="785"/>
      <c r="G4" s="785"/>
      <c r="H4" s="785"/>
      <c r="I4" s="785">
        <f>E4+1</f>
        <v>2025</v>
      </c>
      <c r="J4" s="785"/>
      <c r="K4" s="785"/>
      <c r="L4" s="785"/>
      <c r="M4" s="785">
        <f>I4+1</f>
        <v>2026</v>
      </c>
      <c r="N4" s="785"/>
      <c r="O4" s="785"/>
      <c r="P4" s="785"/>
      <c r="Q4" s="785">
        <f>M4+1</f>
        <v>2027</v>
      </c>
      <c r="R4" s="785"/>
      <c r="S4" s="785"/>
      <c r="T4" s="785"/>
      <c r="U4"/>
      <c r="V4"/>
      <c r="W4"/>
      <c r="X4"/>
      <c r="Y4"/>
      <c r="Z4"/>
      <c r="AA4"/>
      <c r="AB4"/>
      <c r="AC4"/>
      <c r="AD4"/>
      <c r="AE4"/>
      <c r="AF4"/>
      <c r="AG4"/>
      <c r="AH4"/>
      <c r="AI4"/>
      <c r="AJ4"/>
      <c r="AK4"/>
      <c r="AL4"/>
      <c r="AM4"/>
      <c r="AN4"/>
      <c r="AO4"/>
      <c r="AP4"/>
      <c r="AQ4"/>
    </row>
    <row r="5" spans="2:43">
      <c r="B5" s="202"/>
      <c r="C5" s="539" t="s">
        <v>289</v>
      </c>
      <c r="D5" s="539" t="s">
        <v>288</v>
      </c>
      <c r="E5" s="539" t="s">
        <v>291</v>
      </c>
      <c r="F5" s="539" t="s">
        <v>290</v>
      </c>
      <c r="G5" s="539" t="s">
        <v>289</v>
      </c>
      <c r="H5" s="539" t="s">
        <v>288</v>
      </c>
      <c r="I5" s="539" t="s">
        <v>291</v>
      </c>
      <c r="J5" s="539" t="s">
        <v>290</v>
      </c>
      <c r="K5" s="539" t="s">
        <v>289</v>
      </c>
      <c r="L5" s="539" t="s">
        <v>288</v>
      </c>
      <c r="M5" s="539" t="s">
        <v>291</v>
      </c>
      <c r="N5" s="539" t="s">
        <v>290</v>
      </c>
      <c r="O5" s="539" t="s">
        <v>289</v>
      </c>
      <c r="P5" s="539" t="s">
        <v>288</v>
      </c>
      <c r="Q5" s="539" t="s">
        <v>291</v>
      </c>
      <c r="R5" s="539" t="s">
        <v>290</v>
      </c>
      <c r="S5" s="539" t="s">
        <v>289</v>
      </c>
      <c r="T5" s="539" t="s">
        <v>288</v>
      </c>
      <c r="U5"/>
      <c r="V5"/>
      <c r="W5"/>
      <c r="X5"/>
      <c r="Y5"/>
      <c r="Z5"/>
      <c r="AA5"/>
      <c r="AB5"/>
      <c r="AC5"/>
      <c r="AD5"/>
      <c r="AE5"/>
      <c r="AF5"/>
      <c r="AG5"/>
      <c r="AH5"/>
      <c r="AI5"/>
      <c r="AJ5"/>
      <c r="AK5"/>
      <c r="AL5"/>
      <c r="AM5"/>
      <c r="AN5"/>
      <c r="AO5"/>
      <c r="AP5"/>
      <c r="AQ5"/>
    </row>
    <row r="7" spans="2:43">
      <c r="B7" s="620" t="s">
        <v>443</v>
      </c>
    </row>
    <row r="8" spans="2:43">
      <c r="B8" s="620"/>
    </row>
    <row r="9" spans="2:43">
      <c r="B9" s="621"/>
    </row>
    <row r="10" spans="2:43">
      <c r="B10" s="18" t="s">
        <v>503</v>
      </c>
      <c r="C10" s="319">
        <v>957000</v>
      </c>
      <c r="D10" s="319">
        <f>C10</f>
        <v>957000</v>
      </c>
      <c r="E10" s="319">
        <f t="shared" ref="E10:T10" si="0">D10</f>
        <v>957000</v>
      </c>
      <c r="F10" s="319">
        <f t="shared" si="0"/>
        <v>957000</v>
      </c>
      <c r="G10" s="319">
        <f t="shared" si="0"/>
        <v>957000</v>
      </c>
      <c r="H10" s="319">
        <f t="shared" si="0"/>
        <v>957000</v>
      </c>
      <c r="I10" s="319">
        <f t="shared" si="0"/>
        <v>957000</v>
      </c>
      <c r="J10" s="319">
        <f t="shared" si="0"/>
        <v>957000</v>
      </c>
      <c r="K10" s="319">
        <f t="shared" si="0"/>
        <v>957000</v>
      </c>
      <c r="L10" s="319">
        <f t="shared" si="0"/>
        <v>957000</v>
      </c>
      <c r="M10" s="319">
        <f t="shared" si="0"/>
        <v>957000</v>
      </c>
      <c r="N10" s="319">
        <f t="shared" si="0"/>
        <v>957000</v>
      </c>
      <c r="O10" s="319">
        <f t="shared" si="0"/>
        <v>957000</v>
      </c>
      <c r="P10" s="319">
        <f t="shared" si="0"/>
        <v>957000</v>
      </c>
      <c r="Q10" s="319">
        <f t="shared" si="0"/>
        <v>957000</v>
      </c>
      <c r="R10" s="319">
        <f t="shared" si="0"/>
        <v>957000</v>
      </c>
      <c r="S10" s="319">
        <f t="shared" si="0"/>
        <v>957000</v>
      </c>
      <c r="T10" s="319">
        <f t="shared" si="0"/>
        <v>957000</v>
      </c>
    </row>
    <row r="11" spans="2:43">
      <c r="B11" s="622" t="s">
        <v>444</v>
      </c>
      <c r="C11" s="623">
        <v>5.4100000000000002E-2</v>
      </c>
      <c r="D11" s="623">
        <v>5.4399999999999997E-2</v>
      </c>
      <c r="E11" s="623">
        <v>5.3199999999999997E-2</v>
      </c>
      <c r="F11" s="623">
        <v>5.0700000000000002E-2</v>
      </c>
      <c r="G11" s="623">
        <v>4.5600000000000002E-2</v>
      </c>
      <c r="H11" s="623">
        <v>4.5600000000000002E-2</v>
      </c>
      <c r="I11" s="623">
        <v>0.04</v>
      </c>
      <c r="J11" s="623">
        <v>3.9800000000000002E-2</v>
      </c>
      <c r="K11" s="623">
        <v>3.7100000000000001E-2</v>
      </c>
      <c r="L11" s="623">
        <v>3.6999999999999998E-2</v>
      </c>
      <c r="M11" s="623">
        <v>3.6999999999999998E-2</v>
      </c>
      <c r="N11" s="623">
        <v>3.6999999999999998E-2</v>
      </c>
      <c r="O11" s="623">
        <v>3.5900000000000001E-2</v>
      </c>
      <c r="P11" s="623">
        <v>3.5900000000000001E-2</v>
      </c>
      <c r="Q11" s="623">
        <v>3.5900000000000001E-2</v>
      </c>
      <c r="R11" s="623">
        <v>3.5900000000000001E-2</v>
      </c>
      <c r="S11" s="623">
        <v>3.5999999999999997E-2</v>
      </c>
      <c r="T11" s="623">
        <v>3.5999999999999997E-2</v>
      </c>
    </row>
    <row r="12" spans="2:43">
      <c r="B12" s="622" t="s">
        <v>454</v>
      </c>
      <c r="C12" s="623">
        <f>C11+0.01375</f>
        <v>6.7850000000000008E-2</v>
      </c>
      <c r="D12" s="623">
        <f t="shared" ref="D12:T12" si="1">D11+0.01375</f>
        <v>6.8150000000000002E-2</v>
      </c>
      <c r="E12" s="623">
        <f t="shared" si="1"/>
        <v>6.6949999999999996E-2</v>
      </c>
      <c r="F12" s="623">
        <f t="shared" si="1"/>
        <v>6.4450000000000007E-2</v>
      </c>
      <c r="G12" s="623">
        <f t="shared" si="1"/>
        <v>5.935E-2</v>
      </c>
      <c r="H12" s="623">
        <f t="shared" si="1"/>
        <v>5.935E-2</v>
      </c>
      <c r="I12" s="623">
        <f t="shared" si="1"/>
        <v>5.3749999999999999E-2</v>
      </c>
      <c r="J12" s="623">
        <f t="shared" si="1"/>
        <v>5.355E-2</v>
      </c>
      <c r="K12" s="623">
        <f t="shared" si="1"/>
        <v>5.0849999999999999E-2</v>
      </c>
      <c r="L12" s="623">
        <f t="shared" si="1"/>
        <v>5.0749999999999997E-2</v>
      </c>
      <c r="M12" s="623">
        <f t="shared" si="1"/>
        <v>5.0749999999999997E-2</v>
      </c>
      <c r="N12" s="623">
        <f t="shared" si="1"/>
        <v>5.0749999999999997E-2</v>
      </c>
      <c r="O12" s="623">
        <f t="shared" si="1"/>
        <v>4.965E-2</v>
      </c>
      <c r="P12" s="623">
        <f t="shared" si="1"/>
        <v>4.965E-2</v>
      </c>
      <c r="Q12" s="623">
        <f t="shared" si="1"/>
        <v>4.965E-2</v>
      </c>
      <c r="R12" s="623">
        <f t="shared" si="1"/>
        <v>4.965E-2</v>
      </c>
      <c r="S12" s="623">
        <f t="shared" si="1"/>
        <v>4.9749999999999996E-2</v>
      </c>
      <c r="T12" s="623">
        <f t="shared" si="1"/>
        <v>4.9749999999999996E-2</v>
      </c>
    </row>
    <row r="13" spans="2:43">
      <c r="B13" s="622" t="s">
        <v>445</v>
      </c>
      <c r="C13" s="623">
        <f>C12/4</f>
        <v>1.6962500000000002E-2</v>
      </c>
      <c r="D13" s="623">
        <f t="shared" ref="D13:T13" si="2">D12/4</f>
        <v>1.7037500000000001E-2</v>
      </c>
      <c r="E13" s="623">
        <f t="shared" si="2"/>
        <v>1.6737499999999999E-2</v>
      </c>
      <c r="F13" s="623">
        <f t="shared" si="2"/>
        <v>1.6112500000000002E-2</v>
      </c>
      <c r="G13" s="623">
        <f t="shared" si="2"/>
        <v>1.48375E-2</v>
      </c>
      <c r="H13" s="623">
        <f t="shared" si="2"/>
        <v>1.48375E-2</v>
      </c>
      <c r="I13" s="623">
        <f t="shared" si="2"/>
        <v>1.34375E-2</v>
      </c>
      <c r="J13" s="623">
        <f t="shared" si="2"/>
        <v>1.33875E-2</v>
      </c>
      <c r="K13" s="623">
        <f t="shared" si="2"/>
        <v>1.27125E-2</v>
      </c>
      <c r="L13" s="623">
        <f t="shared" si="2"/>
        <v>1.2687499999999999E-2</v>
      </c>
      <c r="M13" s="623">
        <f t="shared" si="2"/>
        <v>1.2687499999999999E-2</v>
      </c>
      <c r="N13" s="623">
        <f t="shared" si="2"/>
        <v>1.2687499999999999E-2</v>
      </c>
      <c r="O13" s="623">
        <f t="shared" si="2"/>
        <v>1.24125E-2</v>
      </c>
      <c r="P13" s="623">
        <f t="shared" si="2"/>
        <v>1.24125E-2</v>
      </c>
      <c r="Q13" s="623">
        <f t="shared" si="2"/>
        <v>1.24125E-2</v>
      </c>
      <c r="R13" s="623">
        <f t="shared" si="2"/>
        <v>1.24125E-2</v>
      </c>
      <c r="S13" s="623">
        <f t="shared" si="2"/>
        <v>1.2437499999999999E-2</v>
      </c>
      <c r="T13" s="623">
        <f t="shared" si="2"/>
        <v>1.2437499999999999E-2</v>
      </c>
    </row>
    <row r="14" spans="2:43">
      <c r="B14" s="627" t="s">
        <v>446</v>
      </c>
      <c r="C14" s="628">
        <f t="shared" ref="C14:T14" si="3">C10</f>
        <v>957000</v>
      </c>
      <c r="D14" s="628">
        <f t="shared" si="3"/>
        <v>957000</v>
      </c>
      <c r="E14" s="628">
        <f t="shared" si="3"/>
        <v>957000</v>
      </c>
      <c r="F14" s="628">
        <f t="shared" si="3"/>
        <v>957000</v>
      </c>
      <c r="G14" s="628">
        <f t="shared" si="3"/>
        <v>957000</v>
      </c>
      <c r="H14" s="628">
        <f t="shared" si="3"/>
        <v>957000</v>
      </c>
      <c r="I14" s="628">
        <f t="shared" si="3"/>
        <v>957000</v>
      </c>
      <c r="J14" s="628">
        <f t="shared" si="3"/>
        <v>957000</v>
      </c>
      <c r="K14" s="628">
        <f t="shared" si="3"/>
        <v>957000</v>
      </c>
      <c r="L14" s="628">
        <f t="shared" si="3"/>
        <v>957000</v>
      </c>
      <c r="M14" s="628">
        <f t="shared" si="3"/>
        <v>957000</v>
      </c>
      <c r="N14" s="628">
        <f t="shared" si="3"/>
        <v>957000</v>
      </c>
      <c r="O14" s="628">
        <f t="shared" si="3"/>
        <v>957000</v>
      </c>
      <c r="P14" s="628">
        <f t="shared" si="3"/>
        <v>957000</v>
      </c>
      <c r="Q14" s="628">
        <f t="shared" si="3"/>
        <v>957000</v>
      </c>
      <c r="R14" s="628">
        <f t="shared" si="3"/>
        <v>957000</v>
      </c>
      <c r="S14" s="628">
        <f t="shared" si="3"/>
        <v>957000</v>
      </c>
      <c r="T14" s="628">
        <f t="shared" si="3"/>
        <v>957000</v>
      </c>
    </row>
    <row r="15" spans="2:43">
      <c r="B15" s="18" t="s">
        <v>138</v>
      </c>
      <c r="C15" s="319">
        <f t="shared" ref="C15:T15" si="4">C13*C10</f>
        <v>16233.112500000001</v>
      </c>
      <c r="D15" s="319">
        <f t="shared" si="4"/>
        <v>16304.887500000001</v>
      </c>
      <c r="E15" s="319">
        <f t="shared" si="4"/>
        <v>16017.787499999999</v>
      </c>
      <c r="F15" s="319">
        <f t="shared" si="4"/>
        <v>15419.662500000002</v>
      </c>
      <c r="G15" s="319">
        <f t="shared" si="4"/>
        <v>14199.487499999999</v>
      </c>
      <c r="H15" s="319">
        <f t="shared" si="4"/>
        <v>14199.487499999999</v>
      </c>
      <c r="I15" s="319">
        <f t="shared" si="4"/>
        <v>12859.6875</v>
      </c>
      <c r="J15" s="319">
        <f t="shared" si="4"/>
        <v>12811.8375</v>
      </c>
      <c r="K15" s="319">
        <f t="shared" si="4"/>
        <v>12165.862499999999</v>
      </c>
      <c r="L15" s="319">
        <f t="shared" si="4"/>
        <v>12141.9375</v>
      </c>
      <c r="M15" s="319">
        <f t="shared" si="4"/>
        <v>12141.9375</v>
      </c>
      <c r="N15" s="319">
        <f t="shared" si="4"/>
        <v>12141.9375</v>
      </c>
      <c r="O15" s="319">
        <f t="shared" si="4"/>
        <v>11878.762500000001</v>
      </c>
      <c r="P15" s="319">
        <f t="shared" si="4"/>
        <v>11878.762500000001</v>
      </c>
      <c r="Q15" s="319">
        <f t="shared" si="4"/>
        <v>11878.762500000001</v>
      </c>
      <c r="R15" s="319">
        <f t="shared" si="4"/>
        <v>11878.762500000001</v>
      </c>
      <c r="S15" s="319">
        <f t="shared" si="4"/>
        <v>11902.687499999998</v>
      </c>
      <c r="T15" s="319">
        <f t="shared" si="4"/>
        <v>11902.687499999998</v>
      </c>
    </row>
    <row r="17" spans="1:43">
      <c r="B17" s="18" t="s">
        <v>455</v>
      </c>
      <c r="C17" s="319">
        <v>1300000</v>
      </c>
      <c r="D17" s="319">
        <f>C17</f>
        <v>1300000</v>
      </c>
      <c r="E17" s="319">
        <f t="shared" ref="E17:T17" si="5">D17</f>
        <v>1300000</v>
      </c>
      <c r="F17" s="319">
        <f t="shared" si="5"/>
        <v>1300000</v>
      </c>
      <c r="G17" s="319">
        <f t="shared" si="5"/>
        <v>1300000</v>
      </c>
      <c r="H17" s="319">
        <f t="shared" si="5"/>
        <v>1300000</v>
      </c>
      <c r="I17" s="319">
        <f t="shared" si="5"/>
        <v>1300000</v>
      </c>
      <c r="J17" s="319">
        <f t="shared" si="5"/>
        <v>1300000</v>
      </c>
      <c r="K17" s="319">
        <f t="shared" si="5"/>
        <v>1300000</v>
      </c>
      <c r="L17" s="319">
        <f t="shared" si="5"/>
        <v>1300000</v>
      </c>
      <c r="M17" s="319">
        <f t="shared" si="5"/>
        <v>1300000</v>
      </c>
      <c r="N17" s="319">
        <f t="shared" si="5"/>
        <v>1300000</v>
      </c>
      <c r="O17" s="319">
        <f t="shared" si="5"/>
        <v>1300000</v>
      </c>
      <c r="P17" s="319">
        <f t="shared" si="5"/>
        <v>1300000</v>
      </c>
      <c r="Q17" s="319">
        <f t="shared" si="5"/>
        <v>1300000</v>
      </c>
      <c r="R17" s="319">
        <f t="shared" si="5"/>
        <v>1300000</v>
      </c>
      <c r="S17" s="319">
        <f t="shared" si="5"/>
        <v>1300000</v>
      </c>
      <c r="T17" s="319">
        <f t="shared" si="5"/>
        <v>1300000</v>
      </c>
    </row>
    <row r="18" spans="1:43">
      <c r="B18" s="622">
        <v>4.2500000000000003E-2</v>
      </c>
      <c r="C18" s="623">
        <f>$B$18/4</f>
        <v>1.0625000000000001E-2</v>
      </c>
      <c r="D18" s="623">
        <f>$B$18/4</f>
        <v>1.0625000000000001E-2</v>
      </c>
      <c r="E18" s="623">
        <f>$B$18/4</f>
        <v>1.0625000000000001E-2</v>
      </c>
      <c r="F18" s="623">
        <f t="shared" ref="F18:T18" si="6">$B$18/4</f>
        <v>1.0625000000000001E-2</v>
      </c>
      <c r="G18" s="623">
        <f t="shared" si="6"/>
        <v>1.0625000000000001E-2</v>
      </c>
      <c r="H18" s="623">
        <f t="shared" si="6"/>
        <v>1.0625000000000001E-2</v>
      </c>
      <c r="I18" s="623">
        <f t="shared" si="6"/>
        <v>1.0625000000000001E-2</v>
      </c>
      <c r="J18" s="623">
        <f t="shared" si="6"/>
        <v>1.0625000000000001E-2</v>
      </c>
      <c r="K18" s="623">
        <f t="shared" si="6"/>
        <v>1.0625000000000001E-2</v>
      </c>
      <c r="L18" s="623">
        <f t="shared" si="6"/>
        <v>1.0625000000000001E-2</v>
      </c>
      <c r="M18" s="623">
        <f t="shared" si="6"/>
        <v>1.0625000000000001E-2</v>
      </c>
      <c r="N18" s="623">
        <f t="shared" si="6"/>
        <v>1.0625000000000001E-2</v>
      </c>
      <c r="O18" s="623">
        <f t="shared" si="6"/>
        <v>1.0625000000000001E-2</v>
      </c>
      <c r="P18" s="623">
        <f t="shared" si="6"/>
        <v>1.0625000000000001E-2</v>
      </c>
      <c r="Q18" s="623">
        <f t="shared" si="6"/>
        <v>1.0625000000000001E-2</v>
      </c>
      <c r="R18" s="623">
        <f t="shared" si="6"/>
        <v>1.0625000000000001E-2</v>
      </c>
      <c r="S18" s="623">
        <f t="shared" si="6"/>
        <v>1.0625000000000001E-2</v>
      </c>
      <c r="T18" s="623">
        <f t="shared" si="6"/>
        <v>1.0625000000000001E-2</v>
      </c>
    </row>
    <row r="19" spans="1:43">
      <c r="B19" s="627" t="s">
        <v>446</v>
      </c>
      <c r="C19" s="628">
        <f>C17</f>
        <v>1300000</v>
      </c>
      <c r="D19" s="628">
        <f t="shared" ref="D19:T19" si="7">D17</f>
        <v>1300000</v>
      </c>
      <c r="E19" s="628">
        <f t="shared" si="7"/>
        <v>1300000</v>
      </c>
      <c r="F19" s="628">
        <f t="shared" si="7"/>
        <v>1300000</v>
      </c>
      <c r="G19" s="628">
        <f t="shared" si="7"/>
        <v>1300000</v>
      </c>
      <c r="H19" s="628">
        <f t="shared" si="7"/>
        <v>1300000</v>
      </c>
      <c r="I19" s="628">
        <f t="shared" si="7"/>
        <v>1300000</v>
      </c>
      <c r="J19" s="628">
        <f t="shared" si="7"/>
        <v>1300000</v>
      </c>
      <c r="K19" s="628">
        <f t="shared" si="7"/>
        <v>1300000</v>
      </c>
      <c r="L19" s="628">
        <f t="shared" si="7"/>
        <v>1300000</v>
      </c>
      <c r="M19" s="628">
        <f t="shared" si="7"/>
        <v>1300000</v>
      </c>
      <c r="N19" s="628">
        <f t="shared" si="7"/>
        <v>1300000</v>
      </c>
      <c r="O19" s="628">
        <f t="shared" si="7"/>
        <v>1300000</v>
      </c>
      <c r="P19" s="628">
        <f t="shared" si="7"/>
        <v>1300000</v>
      </c>
      <c r="Q19" s="628">
        <f t="shared" si="7"/>
        <v>1300000</v>
      </c>
      <c r="R19" s="628">
        <f t="shared" si="7"/>
        <v>1300000</v>
      </c>
      <c r="S19" s="628">
        <f t="shared" si="7"/>
        <v>1300000</v>
      </c>
      <c r="T19" s="628">
        <f t="shared" si="7"/>
        <v>1300000</v>
      </c>
    </row>
    <row r="20" spans="1:43">
      <c r="B20" s="18" t="s">
        <v>138</v>
      </c>
      <c r="C20" s="319">
        <f>C17*C18</f>
        <v>13812.500000000002</v>
      </c>
      <c r="D20" s="319">
        <f t="shared" ref="D20:T20" si="8">D17*D18</f>
        <v>13812.500000000002</v>
      </c>
      <c r="E20" s="319">
        <f t="shared" si="8"/>
        <v>13812.500000000002</v>
      </c>
      <c r="F20" s="319">
        <f t="shared" si="8"/>
        <v>13812.500000000002</v>
      </c>
      <c r="G20" s="319">
        <f t="shared" si="8"/>
        <v>13812.500000000002</v>
      </c>
      <c r="H20" s="319">
        <f t="shared" si="8"/>
        <v>13812.500000000002</v>
      </c>
      <c r="I20" s="319">
        <f t="shared" si="8"/>
        <v>13812.500000000002</v>
      </c>
      <c r="J20" s="319">
        <f t="shared" si="8"/>
        <v>13812.500000000002</v>
      </c>
      <c r="K20" s="319">
        <f t="shared" si="8"/>
        <v>13812.500000000002</v>
      </c>
      <c r="L20" s="319">
        <f t="shared" si="8"/>
        <v>13812.500000000002</v>
      </c>
      <c r="M20" s="319">
        <f t="shared" si="8"/>
        <v>13812.500000000002</v>
      </c>
      <c r="N20" s="319">
        <f t="shared" si="8"/>
        <v>13812.500000000002</v>
      </c>
      <c r="O20" s="319">
        <f t="shared" si="8"/>
        <v>13812.500000000002</v>
      </c>
      <c r="P20" s="319">
        <f t="shared" si="8"/>
        <v>13812.500000000002</v>
      </c>
      <c r="Q20" s="319">
        <f t="shared" si="8"/>
        <v>13812.500000000002</v>
      </c>
      <c r="R20" s="319">
        <f t="shared" si="8"/>
        <v>13812.500000000002</v>
      </c>
      <c r="S20" s="319">
        <f t="shared" si="8"/>
        <v>13812.500000000002</v>
      </c>
      <c r="T20" s="319">
        <f t="shared" si="8"/>
        <v>13812.500000000002</v>
      </c>
    </row>
    <row r="22" spans="1:43" s="319" customFormat="1">
      <c r="A22" s="18"/>
      <c r="B22" s="18" t="s">
        <v>455</v>
      </c>
      <c r="C22" s="319">
        <v>700000</v>
      </c>
      <c r="D22" s="319">
        <f>C22</f>
        <v>700000</v>
      </c>
      <c r="E22" s="319">
        <f t="shared" ref="E22:T22" si="9">D22</f>
        <v>700000</v>
      </c>
      <c r="F22" s="319">
        <f t="shared" si="9"/>
        <v>700000</v>
      </c>
      <c r="G22" s="319">
        <f t="shared" si="9"/>
        <v>700000</v>
      </c>
      <c r="H22" s="319">
        <f t="shared" si="9"/>
        <v>700000</v>
      </c>
      <c r="I22" s="319">
        <f t="shared" si="9"/>
        <v>700000</v>
      </c>
      <c r="J22" s="319">
        <f t="shared" si="9"/>
        <v>700000</v>
      </c>
      <c r="K22" s="319">
        <f t="shared" si="9"/>
        <v>700000</v>
      </c>
      <c r="L22" s="319">
        <f t="shared" si="9"/>
        <v>700000</v>
      </c>
      <c r="M22" s="319">
        <f t="shared" si="9"/>
        <v>700000</v>
      </c>
      <c r="N22" s="319">
        <f t="shared" si="9"/>
        <v>700000</v>
      </c>
      <c r="O22" s="319">
        <f t="shared" si="9"/>
        <v>700000</v>
      </c>
      <c r="P22" s="319">
        <f t="shared" si="9"/>
        <v>700000</v>
      </c>
      <c r="Q22" s="319">
        <f t="shared" si="9"/>
        <v>700000</v>
      </c>
      <c r="R22" s="319">
        <f t="shared" si="9"/>
        <v>700000</v>
      </c>
      <c r="S22" s="319">
        <f t="shared" si="9"/>
        <v>700000</v>
      </c>
      <c r="T22" s="319">
        <f t="shared" si="9"/>
        <v>700000</v>
      </c>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c r="B23" s="622">
        <v>6.3750000000000001E-2</v>
      </c>
      <c r="C23" s="623">
        <f>$B$23/4</f>
        <v>1.59375E-2</v>
      </c>
      <c r="D23" s="623">
        <f t="shared" ref="D23:T23" si="10">$B$23/4</f>
        <v>1.59375E-2</v>
      </c>
      <c r="E23" s="623">
        <f t="shared" si="10"/>
        <v>1.59375E-2</v>
      </c>
      <c r="F23" s="623">
        <f t="shared" si="10"/>
        <v>1.59375E-2</v>
      </c>
      <c r="G23" s="623">
        <f t="shared" si="10"/>
        <v>1.59375E-2</v>
      </c>
      <c r="H23" s="623">
        <f t="shared" si="10"/>
        <v>1.59375E-2</v>
      </c>
      <c r="I23" s="623">
        <f t="shared" si="10"/>
        <v>1.59375E-2</v>
      </c>
      <c r="J23" s="623">
        <f t="shared" si="10"/>
        <v>1.59375E-2</v>
      </c>
      <c r="K23" s="623">
        <f t="shared" si="10"/>
        <v>1.59375E-2</v>
      </c>
      <c r="L23" s="623">
        <f t="shared" si="10"/>
        <v>1.59375E-2</v>
      </c>
      <c r="M23" s="623">
        <f t="shared" si="10"/>
        <v>1.59375E-2</v>
      </c>
      <c r="N23" s="623">
        <f t="shared" si="10"/>
        <v>1.59375E-2</v>
      </c>
      <c r="O23" s="623">
        <f t="shared" si="10"/>
        <v>1.59375E-2</v>
      </c>
      <c r="P23" s="623">
        <f t="shared" si="10"/>
        <v>1.59375E-2</v>
      </c>
      <c r="Q23" s="623">
        <f t="shared" si="10"/>
        <v>1.59375E-2</v>
      </c>
      <c r="R23" s="623">
        <f t="shared" si="10"/>
        <v>1.59375E-2</v>
      </c>
      <c r="S23" s="623">
        <f t="shared" si="10"/>
        <v>1.59375E-2</v>
      </c>
      <c r="T23" s="623">
        <f t="shared" si="10"/>
        <v>1.59375E-2</v>
      </c>
    </row>
    <row r="24" spans="1:43">
      <c r="B24" s="627" t="s">
        <v>446</v>
      </c>
      <c r="C24" s="628">
        <f>C22</f>
        <v>700000</v>
      </c>
      <c r="D24" s="628">
        <f t="shared" ref="D24:T24" si="11">D22</f>
        <v>700000</v>
      </c>
      <c r="E24" s="628">
        <f t="shared" si="11"/>
        <v>700000</v>
      </c>
      <c r="F24" s="628">
        <f t="shared" si="11"/>
        <v>700000</v>
      </c>
      <c r="G24" s="628">
        <f t="shared" si="11"/>
        <v>700000</v>
      </c>
      <c r="H24" s="628">
        <f t="shared" si="11"/>
        <v>700000</v>
      </c>
      <c r="I24" s="628">
        <f t="shared" si="11"/>
        <v>700000</v>
      </c>
      <c r="J24" s="628">
        <f t="shared" si="11"/>
        <v>700000</v>
      </c>
      <c r="K24" s="628">
        <f t="shared" si="11"/>
        <v>700000</v>
      </c>
      <c r="L24" s="628">
        <f t="shared" si="11"/>
        <v>700000</v>
      </c>
      <c r="M24" s="628">
        <f t="shared" si="11"/>
        <v>700000</v>
      </c>
      <c r="N24" s="628">
        <f t="shared" si="11"/>
        <v>700000</v>
      </c>
      <c r="O24" s="628">
        <f t="shared" si="11"/>
        <v>700000</v>
      </c>
      <c r="P24" s="628">
        <f t="shared" si="11"/>
        <v>700000</v>
      </c>
      <c r="Q24" s="628">
        <f t="shared" si="11"/>
        <v>700000</v>
      </c>
      <c r="R24" s="628">
        <f t="shared" si="11"/>
        <v>700000</v>
      </c>
      <c r="S24" s="628">
        <f t="shared" si="11"/>
        <v>700000</v>
      </c>
      <c r="T24" s="628">
        <f t="shared" si="11"/>
        <v>700000</v>
      </c>
    </row>
    <row r="25" spans="1:43">
      <c r="B25" s="18" t="s">
        <v>138</v>
      </c>
      <c r="C25" s="319">
        <f>C22*C23</f>
        <v>11156.25</v>
      </c>
      <c r="D25" s="319">
        <f t="shared" ref="D25:T25" si="12">D22*D23</f>
        <v>11156.25</v>
      </c>
      <c r="E25" s="319">
        <f t="shared" si="12"/>
        <v>11156.25</v>
      </c>
      <c r="F25" s="319">
        <f t="shared" si="12"/>
        <v>11156.25</v>
      </c>
      <c r="G25" s="319">
        <f t="shared" si="12"/>
        <v>11156.25</v>
      </c>
      <c r="H25" s="319">
        <f t="shared" si="12"/>
        <v>11156.25</v>
      </c>
      <c r="I25" s="319">
        <f t="shared" si="12"/>
        <v>11156.25</v>
      </c>
      <c r="J25" s="319">
        <f t="shared" si="12"/>
        <v>11156.25</v>
      </c>
      <c r="K25" s="319">
        <f t="shared" si="12"/>
        <v>11156.25</v>
      </c>
      <c r="L25" s="319">
        <f t="shared" si="12"/>
        <v>11156.25</v>
      </c>
      <c r="M25" s="319">
        <f t="shared" si="12"/>
        <v>11156.25</v>
      </c>
      <c r="N25" s="319">
        <f t="shared" si="12"/>
        <v>11156.25</v>
      </c>
      <c r="O25" s="319">
        <f t="shared" si="12"/>
        <v>11156.25</v>
      </c>
      <c r="P25" s="319">
        <f t="shared" si="12"/>
        <v>11156.25</v>
      </c>
      <c r="Q25" s="319">
        <f t="shared" si="12"/>
        <v>11156.25</v>
      </c>
      <c r="R25" s="319">
        <f t="shared" si="12"/>
        <v>11156.25</v>
      </c>
      <c r="S25" s="319">
        <f t="shared" si="12"/>
        <v>11156.25</v>
      </c>
      <c r="T25" s="319">
        <f t="shared" si="12"/>
        <v>11156.25</v>
      </c>
    </row>
    <row r="26" spans="1:43" s="319" customForma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c r="B27" s="18" t="s">
        <v>456</v>
      </c>
      <c r="C27" s="319">
        <v>550000</v>
      </c>
      <c r="D27" s="319">
        <f>C27</f>
        <v>550000</v>
      </c>
      <c r="E27" s="319">
        <f t="shared" ref="E27:T27" si="13">D27</f>
        <v>550000</v>
      </c>
      <c r="F27" s="319">
        <f t="shared" si="13"/>
        <v>550000</v>
      </c>
      <c r="G27" s="319">
        <f t="shared" si="13"/>
        <v>550000</v>
      </c>
      <c r="H27" s="319">
        <f t="shared" si="13"/>
        <v>550000</v>
      </c>
      <c r="I27" s="319">
        <f t="shared" si="13"/>
        <v>550000</v>
      </c>
      <c r="J27" s="319">
        <f t="shared" si="13"/>
        <v>550000</v>
      </c>
      <c r="K27" s="319">
        <f t="shared" si="13"/>
        <v>550000</v>
      </c>
      <c r="L27" s="319">
        <f t="shared" si="13"/>
        <v>550000</v>
      </c>
      <c r="M27" s="319">
        <f t="shared" si="13"/>
        <v>550000</v>
      </c>
      <c r="N27" s="319">
        <f t="shared" si="13"/>
        <v>550000</v>
      </c>
      <c r="O27" s="319">
        <f t="shared" si="13"/>
        <v>550000</v>
      </c>
      <c r="P27" s="319">
        <f t="shared" si="13"/>
        <v>550000</v>
      </c>
      <c r="Q27" s="319">
        <f t="shared" si="13"/>
        <v>550000</v>
      </c>
      <c r="R27" s="319">
        <f t="shared" si="13"/>
        <v>550000</v>
      </c>
      <c r="S27" s="319">
        <f t="shared" si="13"/>
        <v>550000</v>
      </c>
      <c r="T27" s="319">
        <f t="shared" si="13"/>
        <v>550000</v>
      </c>
    </row>
    <row r="28" spans="1:43">
      <c r="B28" s="622">
        <v>0.05</v>
      </c>
      <c r="C28" s="623">
        <f>$B$28/4</f>
        <v>1.2500000000000001E-2</v>
      </c>
      <c r="D28" s="623">
        <f t="shared" ref="D28:T28" si="14">$B$28/4</f>
        <v>1.2500000000000001E-2</v>
      </c>
      <c r="E28" s="623">
        <f t="shared" si="14"/>
        <v>1.2500000000000001E-2</v>
      </c>
      <c r="F28" s="623">
        <f t="shared" si="14"/>
        <v>1.2500000000000001E-2</v>
      </c>
      <c r="G28" s="623">
        <f t="shared" si="14"/>
        <v>1.2500000000000001E-2</v>
      </c>
      <c r="H28" s="623">
        <f t="shared" si="14"/>
        <v>1.2500000000000001E-2</v>
      </c>
      <c r="I28" s="623">
        <f t="shared" si="14"/>
        <v>1.2500000000000001E-2</v>
      </c>
      <c r="J28" s="623">
        <f t="shared" si="14"/>
        <v>1.2500000000000001E-2</v>
      </c>
      <c r="K28" s="623">
        <f t="shared" si="14"/>
        <v>1.2500000000000001E-2</v>
      </c>
      <c r="L28" s="623">
        <f t="shared" si="14"/>
        <v>1.2500000000000001E-2</v>
      </c>
      <c r="M28" s="623">
        <f t="shared" si="14"/>
        <v>1.2500000000000001E-2</v>
      </c>
      <c r="N28" s="623">
        <f t="shared" si="14"/>
        <v>1.2500000000000001E-2</v>
      </c>
      <c r="O28" s="623">
        <f t="shared" si="14"/>
        <v>1.2500000000000001E-2</v>
      </c>
      <c r="P28" s="623">
        <f t="shared" si="14"/>
        <v>1.2500000000000001E-2</v>
      </c>
      <c r="Q28" s="623">
        <f t="shared" si="14"/>
        <v>1.2500000000000001E-2</v>
      </c>
      <c r="R28" s="623">
        <f t="shared" si="14"/>
        <v>1.2500000000000001E-2</v>
      </c>
      <c r="S28" s="623">
        <f t="shared" si="14"/>
        <v>1.2500000000000001E-2</v>
      </c>
      <c r="T28" s="623">
        <f t="shared" si="14"/>
        <v>1.2500000000000001E-2</v>
      </c>
    </row>
    <row r="29" spans="1:43">
      <c r="B29" s="627" t="s">
        <v>446</v>
      </c>
      <c r="C29" s="628">
        <f>C27</f>
        <v>550000</v>
      </c>
      <c r="D29" s="628">
        <f t="shared" ref="D29:T29" si="15">D27</f>
        <v>550000</v>
      </c>
      <c r="E29" s="628">
        <f t="shared" si="15"/>
        <v>550000</v>
      </c>
      <c r="F29" s="628">
        <f t="shared" si="15"/>
        <v>550000</v>
      </c>
      <c r="G29" s="628">
        <f t="shared" si="15"/>
        <v>550000</v>
      </c>
      <c r="H29" s="628">
        <f t="shared" si="15"/>
        <v>550000</v>
      </c>
      <c r="I29" s="628">
        <f t="shared" si="15"/>
        <v>550000</v>
      </c>
      <c r="J29" s="628">
        <f t="shared" si="15"/>
        <v>550000</v>
      </c>
      <c r="K29" s="628">
        <f t="shared" si="15"/>
        <v>550000</v>
      </c>
      <c r="L29" s="628">
        <f t="shared" si="15"/>
        <v>550000</v>
      </c>
      <c r="M29" s="628">
        <f t="shared" si="15"/>
        <v>550000</v>
      </c>
      <c r="N29" s="628">
        <f t="shared" si="15"/>
        <v>550000</v>
      </c>
      <c r="O29" s="628">
        <f t="shared" si="15"/>
        <v>550000</v>
      </c>
      <c r="P29" s="628">
        <f t="shared" si="15"/>
        <v>550000</v>
      </c>
      <c r="Q29" s="628">
        <f t="shared" si="15"/>
        <v>550000</v>
      </c>
      <c r="R29" s="628">
        <f t="shared" si="15"/>
        <v>550000</v>
      </c>
      <c r="S29" s="628">
        <f t="shared" si="15"/>
        <v>550000</v>
      </c>
      <c r="T29" s="628">
        <f t="shared" si="15"/>
        <v>550000</v>
      </c>
    </row>
    <row r="30" spans="1:43">
      <c r="B30" s="18" t="s">
        <v>138</v>
      </c>
      <c r="C30" s="319">
        <f>C27*C28</f>
        <v>6875</v>
      </c>
      <c r="D30" s="319">
        <f t="shared" ref="D30:T30" si="16">D27*D28</f>
        <v>6875</v>
      </c>
      <c r="E30" s="319">
        <f t="shared" si="16"/>
        <v>6875</v>
      </c>
      <c r="F30" s="319">
        <f t="shared" si="16"/>
        <v>6875</v>
      </c>
      <c r="G30" s="319">
        <f t="shared" si="16"/>
        <v>6875</v>
      </c>
      <c r="H30" s="319">
        <f t="shared" si="16"/>
        <v>6875</v>
      </c>
      <c r="I30" s="319">
        <f t="shared" si="16"/>
        <v>6875</v>
      </c>
      <c r="J30" s="319">
        <f t="shared" si="16"/>
        <v>6875</v>
      </c>
      <c r="K30" s="319">
        <f t="shared" si="16"/>
        <v>6875</v>
      </c>
      <c r="L30" s="319">
        <f t="shared" si="16"/>
        <v>6875</v>
      </c>
      <c r="M30" s="319">
        <f t="shared" si="16"/>
        <v>6875</v>
      </c>
      <c r="N30" s="319">
        <f t="shared" si="16"/>
        <v>6875</v>
      </c>
      <c r="O30" s="319">
        <f t="shared" si="16"/>
        <v>6875</v>
      </c>
      <c r="P30" s="319">
        <f t="shared" si="16"/>
        <v>6875</v>
      </c>
      <c r="Q30" s="319">
        <f t="shared" si="16"/>
        <v>6875</v>
      </c>
      <c r="R30" s="319">
        <f t="shared" si="16"/>
        <v>6875</v>
      </c>
      <c r="S30" s="319">
        <f t="shared" si="16"/>
        <v>6875</v>
      </c>
      <c r="T30" s="319">
        <f t="shared" si="16"/>
        <v>6875</v>
      </c>
    </row>
    <row r="31" spans="1:43">
      <c r="C31" s="319"/>
      <c r="D31" s="319"/>
      <c r="E31" s="319"/>
      <c r="F31" s="319"/>
      <c r="G31" s="319"/>
      <c r="H31" s="319"/>
      <c r="I31" s="319"/>
      <c r="J31" s="319"/>
      <c r="K31" s="319"/>
      <c r="L31" s="319"/>
      <c r="M31" s="319"/>
      <c r="N31" s="319"/>
      <c r="O31" s="319"/>
      <c r="P31" s="319"/>
      <c r="Q31" s="319"/>
      <c r="R31" s="319"/>
      <c r="S31" s="319"/>
      <c r="T31" s="319"/>
    </row>
    <row r="32" spans="1:43">
      <c r="B32" s="18" t="s">
        <v>460</v>
      </c>
      <c r="C32" s="319">
        <v>193871</v>
      </c>
      <c r="D32" s="319">
        <f>C32</f>
        <v>193871</v>
      </c>
      <c r="E32" s="319">
        <f t="shared" ref="E32" si="17">D32</f>
        <v>193871</v>
      </c>
      <c r="F32" s="319">
        <f t="shared" ref="F32" si="18">E32</f>
        <v>193871</v>
      </c>
      <c r="G32" s="319">
        <f t="shared" ref="G32" si="19">F32</f>
        <v>193871</v>
      </c>
      <c r="H32" s="319">
        <f t="shared" ref="H32" si="20">G32</f>
        <v>193871</v>
      </c>
      <c r="I32" s="319">
        <f t="shared" ref="I32" si="21">H32</f>
        <v>193871</v>
      </c>
      <c r="J32" s="319">
        <f t="shared" ref="J32" si="22">I32</f>
        <v>193871</v>
      </c>
      <c r="K32" s="319">
        <f t="shared" ref="K32" si="23">J32</f>
        <v>193871</v>
      </c>
      <c r="L32" s="319">
        <f t="shared" ref="L32" si="24">K32</f>
        <v>193871</v>
      </c>
      <c r="M32" s="319">
        <f t="shared" ref="M32" si="25">L32</f>
        <v>193871</v>
      </c>
      <c r="N32" s="319">
        <f t="shared" ref="N32" si="26">M32</f>
        <v>193871</v>
      </c>
      <c r="O32" s="319">
        <f t="shared" ref="O32" si="27">N32</f>
        <v>193871</v>
      </c>
      <c r="P32" s="319">
        <f t="shared" ref="P32" si="28">O32</f>
        <v>193871</v>
      </c>
      <c r="Q32" s="319">
        <f t="shared" ref="Q32" si="29">P32</f>
        <v>193871</v>
      </c>
      <c r="R32" s="319">
        <f t="shared" ref="R32" si="30">Q32</f>
        <v>193871</v>
      </c>
      <c r="S32" s="319">
        <f t="shared" ref="S32" si="31">R32</f>
        <v>193871</v>
      </c>
      <c r="T32" s="319">
        <f t="shared" ref="T32" si="32">S32</f>
        <v>193871</v>
      </c>
    </row>
    <row r="33" spans="2:20">
      <c r="B33" s="627" t="s">
        <v>446</v>
      </c>
      <c r="C33" s="628">
        <f t="shared" ref="C33:T33" si="33">C32</f>
        <v>193871</v>
      </c>
      <c r="D33" s="628">
        <f t="shared" si="33"/>
        <v>193871</v>
      </c>
      <c r="E33" s="628">
        <f t="shared" si="33"/>
        <v>193871</v>
      </c>
      <c r="F33" s="628">
        <f t="shared" si="33"/>
        <v>193871</v>
      </c>
      <c r="G33" s="628">
        <f t="shared" si="33"/>
        <v>193871</v>
      </c>
      <c r="H33" s="628">
        <f t="shared" si="33"/>
        <v>193871</v>
      </c>
      <c r="I33" s="628">
        <f t="shared" si="33"/>
        <v>193871</v>
      </c>
      <c r="J33" s="628">
        <f t="shared" si="33"/>
        <v>193871</v>
      </c>
      <c r="K33" s="628">
        <f t="shared" si="33"/>
        <v>193871</v>
      </c>
      <c r="L33" s="628">
        <f t="shared" si="33"/>
        <v>193871</v>
      </c>
      <c r="M33" s="628">
        <f t="shared" si="33"/>
        <v>193871</v>
      </c>
      <c r="N33" s="628">
        <f t="shared" si="33"/>
        <v>193871</v>
      </c>
      <c r="O33" s="628">
        <f t="shared" si="33"/>
        <v>193871</v>
      </c>
      <c r="P33" s="628">
        <f t="shared" si="33"/>
        <v>193871</v>
      </c>
      <c r="Q33" s="628">
        <f t="shared" si="33"/>
        <v>193871</v>
      </c>
      <c r="R33" s="628">
        <f t="shared" si="33"/>
        <v>193871</v>
      </c>
      <c r="S33" s="628">
        <f t="shared" si="33"/>
        <v>193871</v>
      </c>
      <c r="T33" s="628">
        <f t="shared" si="33"/>
        <v>193871</v>
      </c>
    </row>
    <row r="34" spans="2:20">
      <c r="C34" s="319"/>
      <c r="D34" s="319"/>
      <c r="E34" s="319"/>
      <c r="F34" s="319"/>
      <c r="G34" s="319"/>
      <c r="H34" s="319"/>
      <c r="I34" s="319"/>
      <c r="J34" s="319"/>
      <c r="K34" s="319"/>
      <c r="L34" s="319"/>
      <c r="M34" s="319"/>
      <c r="N34" s="319"/>
      <c r="O34" s="319"/>
      <c r="P34" s="319"/>
      <c r="Q34" s="319"/>
      <c r="R34" s="319"/>
      <c r="S34" s="319"/>
      <c r="T34" s="319"/>
    </row>
    <row r="35" spans="2:20">
      <c r="B35" s="18" t="s">
        <v>457</v>
      </c>
      <c r="C35" s="319">
        <v>3599</v>
      </c>
      <c r="D35" s="319">
        <f>C35</f>
        <v>3599</v>
      </c>
      <c r="E35" s="319">
        <f t="shared" ref="E35" si="34">D35</f>
        <v>3599</v>
      </c>
      <c r="F35" s="319">
        <f t="shared" ref="F35" si="35">E35</f>
        <v>3599</v>
      </c>
      <c r="G35" s="319">
        <f t="shared" ref="G35" si="36">F35</f>
        <v>3599</v>
      </c>
      <c r="H35" s="319">
        <f t="shared" ref="H35" si="37">G35</f>
        <v>3599</v>
      </c>
      <c r="I35" s="319">
        <f t="shared" ref="I35" si="38">H35</f>
        <v>3599</v>
      </c>
      <c r="J35" s="319">
        <f t="shared" ref="J35" si="39">I35</f>
        <v>3599</v>
      </c>
      <c r="K35" s="319">
        <f t="shared" ref="K35" si="40">J35</f>
        <v>3599</v>
      </c>
      <c r="L35" s="319">
        <f t="shared" ref="L35" si="41">K35</f>
        <v>3599</v>
      </c>
      <c r="M35" s="319">
        <f t="shared" ref="M35" si="42">L35</f>
        <v>3599</v>
      </c>
      <c r="N35" s="319">
        <f t="shared" ref="N35" si="43">M35</f>
        <v>3599</v>
      </c>
      <c r="O35" s="319">
        <f t="shared" ref="O35" si="44">N35</f>
        <v>3599</v>
      </c>
      <c r="P35" s="319">
        <f t="shared" ref="P35" si="45">O35</f>
        <v>3599</v>
      </c>
      <c r="Q35" s="319">
        <f t="shared" ref="Q35" si="46">P35</f>
        <v>3599</v>
      </c>
      <c r="R35" s="319">
        <f t="shared" ref="R35" si="47">Q35</f>
        <v>3599</v>
      </c>
      <c r="S35" s="319">
        <f t="shared" ref="S35" si="48">R35</f>
        <v>3599</v>
      </c>
      <c r="T35" s="319">
        <f t="shared" ref="T35" si="49">S35</f>
        <v>3599</v>
      </c>
    </row>
    <row r="36" spans="2:20">
      <c r="B36" s="627" t="s">
        <v>446</v>
      </c>
      <c r="C36" s="628">
        <f t="shared" ref="C36:T36" si="50">C35</f>
        <v>3599</v>
      </c>
      <c r="D36" s="628">
        <f t="shared" si="50"/>
        <v>3599</v>
      </c>
      <c r="E36" s="628">
        <f t="shared" si="50"/>
        <v>3599</v>
      </c>
      <c r="F36" s="628">
        <f t="shared" si="50"/>
        <v>3599</v>
      </c>
      <c r="G36" s="628">
        <f t="shared" si="50"/>
        <v>3599</v>
      </c>
      <c r="H36" s="628">
        <f t="shared" si="50"/>
        <v>3599</v>
      </c>
      <c r="I36" s="628">
        <f t="shared" si="50"/>
        <v>3599</v>
      </c>
      <c r="J36" s="628">
        <f t="shared" si="50"/>
        <v>3599</v>
      </c>
      <c r="K36" s="628">
        <f t="shared" si="50"/>
        <v>3599</v>
      </c>
      <c r="L36" s="628">
        <f t="shared" si="50"/>
        <v>3599</v>
      </c>
      <c r="M36" s="628">
        <f t="shared" si="50"/>
        <v>3599</v>
      </c>
      <c r="N36" s="628">
        <f t="shared" si="50"/>
        <v>3599</v>
      </c>
      <c r="O36" s="628">
        <f t="shared" si="50"/>
        <v>3599</v>
      </c>
      <c r="P36" s="628">
        <f t="shared" si="50"/>
        <v>3599</v>
      </c>
      <c r="Q36" s="628">
        <f t="shared" si="50"/>
        <v>3599</v>
      </c>
      <c r="R36" s="628">
        <f t="shared" si="50"/>
        <v>3599</v>
      </c>
      <c r="S36" s="628">
        <f t="shared" si="50"/>
        <v>3599</v>
      </c>
      <c r="T36" s="628">
        <f t="shared" si="50"/>
        <v>3599</v>
      </c>
    </row>
    <row r="38" spans="2:20">
      <c r="B38" s="18" t="s">
        <v>447</v>
      </c>
      <c r="C38" s="319">
        <v>29756</v>
      </c>
      <c r="D38" s="319">
        <f>C38</f>
        <v>29756</v>
      </c>
      <c r="E38" s="319">
        <f t="shared" ref="E38:T38" si="51">D38</f>
        <v>29756</v>
      </c>
      <c r="F38" s="319">
        <f t="shared" si="51"/>
        <v>29756</v>
      </c>
      <c r="G38" s="319">
        <f t="shared" si="51"/>
        <v>29756</v>
      </c>
      <c r="H38" s="319">
        <f t="shared" si="51"/>
        <v>29756</v>
      </c>
      <c r="I38" s="319">
        <f t="shared" si="51"/>
        <v>29756</v>
      </c>
      <c r="J38" s="319">
        <f t="shared" si="51"/>
        <v>29756</v>
      </c>
      <c r="K38" s="319">
        <f t="shared" si="51"/>
        <v>29756</v>
      </c>
      <c r="L38" s="319">
        <f t="shared" si="51"/>
        <v>29756</v>
      </c>
      <c r="M38" s="319">
        <f t="shared" si="51"/>
        <v>29756</v>
      </c>
      <c r="N38" s="319">
        <f t="shared" si="51"/>
        <v>29756</v>
      </c>
      <c r="O38" s="319">
        <f t="shared" si="51"/>
        <v>29756</v>
      </c>
      <c r="P38" s="319">
        <f t="shared" si="51"/>
        <v>29756</v>
      </c>
      <c r="Q38" s="319">
        <f t="shared" si="51"/>
        <v>29756</v>
      </c>
      <c r="R38" s="319">
        <f t="shared" si="51"/>
        <v>29756</v>
      </c>
      <c r="S38" s="319">
        <f t="shared" si="51"/>
        <v>29756</v>
      </c>
      <c r="T38" s="319">
        <f t="shared" si="51"/>
        <v>29756</v>
      </c>
    </row>
    <row r="40" spans="2:20" ht="17.25" thickBot="1">
      <c r="B40" s="624" t="s">
        <v>448</v>
      </c>
      <c r="C40" s="625">
        <f>SUM(C29,C24,C19,C14,C32,C35)-C38</f>
        <v>3674714</v>
      </c>
      <c r="D40" s="625">
        <f t="shared" ref="D40:T40" si="52">SUM(D29,D24,D19,D14,D32,D35)-D38</f>
        <v>3674714</v>
      </c>
      <c r="E40" s="625">
        <f t="shared" si="52"/>
        <v>3674714</v>
      </c>
      <c r="F40" s="625">
        <f t="shared" si="52"/>
        <v>3674714</v>
      </c>
      <c r="G40" s="625">
        <f t="shared" si="52"/>
        <v>3674714</v>
      </c>
      <c r="H40" s="625">
        <f t="shared" si="52"/>
        <v>3674714</v>
      </c>
      <c r="I40" s="625">
        <f t="shared" si="52"/>
        <v>3674714</v>
      </c>
      <c r="J40" s="625">
        <f t="shared" si="52"/>
        <v>3674714</v>
      </c>
      <c r="K40" s="625">
        <f t="shared" si="52"/>
        <v>3674714</v>
      </c>
      <c r="L40" s="625">
        <f t="shared" si="52"/>
        <v>3674714</v>
      </c>
      <c r="M40" s="625">
        <f t="shared" si="52"/>
        <v>3674714</v>
      </c>
      <c r="N40" s="625">
        <f t="shared" si="52"/>
        <v>3674714</v>
      </c>
      <c r="O40" s="625">
        <f t="shared" si="52"/>
        <v>3674714</v>
      </c>
      <c r="P40" s="625">
        <f t="shared" si="52"/>
        <v>3674714</v>
      </c>
      <c r="Q40" s="625">
        <f t="shared" si="52"/>
        <v>3674714</v>
      </c>
      <c r="R40" s="625">
        <f t="shared" si="52"/>
        <v>3674714</v>
      </c>
      <c r="S40" s="625">
        <f t="shared" si="52"/>
        <v>3674714</v>
      </c>
      <c r="T40" s="625">
        <f t="shared" si="52"/>
        <v>3674714</v>
      </c>
    </row>
    <row r="41" spans="2:20" ht="17.25" thickTop="1">
      <c r="C41" s="319"/>
    </row>
    <row r="42" spans="2:20">
      <c r="B42" s="626" t="s">
        <v>449</v>
      </c>
      <c r="C42" s="623">
        <f>C48</f>
        <v>1.1753487358326068E-3</v>
      </c>
      <c r="D42" s="623">
        <f>C42</f>
        <v>1.1753487358326068E-3</v>
      </c>
      <c r="E42" s="623">
        <f t="shared" ref="E42:T42" si="53">D42</f>
        <v>1.1753487358326068E-3</v>
      </c>
      <c r="F42" s="623">
        <f t="shared" si="53"/>
        <v>1.1753487358326068E-3</v>
      </c>
      <c r="G42" s="623">
        <f t="shared" si="53"/>
        <v>1.1753487358326068E-3</v>
      </c>
      <c r="H42" s="623">
        <f t="shared" si="53"/>
        <v>1.1753487358326068E-3</v>
      </c>
      <c r="I42" s="623">
        <f t="shared" si="53"/>
        <v>1.1753487358326068E-3</v>
      </c>
      <c r="J42" s="623">
        <f t="shared" si="53"/>
        <v>1.1753487358326068E-3</v>
      </c>
      <c r="K42" s="623">
        <f t="shared" si="53"/>
        <v>1.1753487358326068E-3</v>
      </c>
      <c r="L42" s="623">
        <f t="shared" si="53"/>
        <v>1.1753487358326068E-3</v>
      </c>
      <c r="M42" s="623">
        <f t="shared" si="53"/>
        <v>1.1753487358326068E-3</v>
      </c>
      <c r="N42" s="623">
        <f t="shared" si="53"/>
        <v>1.1753487358326068E-3</v>
      </c>
      <c r="O42" s="623">
        <f t="shared" si="53"/>
        <v>1.1753487358326068E-3</v>
      </c>
      <c r="P42" s="623">
        <f t="shared" si="53"/>
        <v>1.1753487358326068E-3</v>
      </c>
      <c r="Q42" s="623">
        <f t="shared" si="53"/>
        <v>1.1753487358326068E-3</v>
      </c>
      <c r="R42" s="623">
        <f t="shared" si="53"/>
        <v>1.1753487358326068E-3</v>
      </c>
      <c r="S42" s="623">
        <f t="shared" si="53"/>
        <v>1.1753487358326068E-3</v>
      </c>
      <c r="T42" s="623">
        <f t="shared" si="53"/>
        <v>1.1753487358326068E-3</v>
      </c>
    </row>
    <row r="43" spans="2:20">
      <c r="B43" s="626" t="s">
        <v>450</v>
      </c>
      <c r="C43" s="319">
        <f>C40*C42</f>
        <v>4319.0704544463815</v>
      </c>
      <c r="D43" s="319">
        <f t="shared" ref="D43:T43" si="54">D40*D42</f>
        <v>4319.0704544463815</v>
      </c>
      <c r="E43" s="319">
        <f t="shared" si="54"/>
        <v>4319.0704544463815</v>
      </c>
      <c r="F43" s="319">
        <f t="shared" si="54"/>
        <v>4319.0704544463815</v>
      </c>
      <c r="G43" s="319">
        <f t="shared" si="54"/>
        <v>4319.0704544463815</v>
      </c>
      <c r="H43" s="319">
        <f t="shared" si="54"/>
        <v>4319.0704544463815</v>
      </c>
      <c r="I43" s="319">
        <f t="shared" si="54"/>
        <v>4319.0704544463815</v>
      </c>
      <c r="J43" s="319">
        <f t="shared" si="54"/>
        <v>4319.0704544463815</v>
      </c>
      <c r="K43" s="319">
        <f t="shared" si="54"/>
        <v>4319.0704544463815</v>
      </c>
      <c r="L43" s="319">
        <f t="shared" si="54"/>
        <v>4319.0704544463815</v>
      </c>
      <c r="M43" s="319">
        <f t="shared" si="54"/>
        <v>4319.0704544463815</v>
      </c>
      <c r="N43" s="319">
        <f t="shared" si="54"/>
        <v>4319.0704544463815</v>
      </c>
      <c r="O43" s="319">
        <f t="shared" si="54"/>
        <v>4319.0704544463815</v>
      </c>
      <c r="P43" s="319">
        <f t="shared" si="54"/>
        <v>4319.0704544463815</v>
      </c>
      <c r="Q43" s="319">
        <f t="shared" si="54"/>
        <v>4319.0704544463815</v>
      </c>
      <c r="R43" s="319">
        <f t="shared" si="54"/>
        <v>4319.0704544463815</v>
      </c>
      <c r="S43" s="319">
        <f t="shared" si="54"/>
        <v>4319.0704544463815</v>
      </c>
      <c r="T43" s="319">
        <f t="shared" si="54"/>
        <v>4319.0704544463815</v>
      </c>
    </row>
    <row r="44" spans="2:20">
      <c r="B44" s="626"/>
    </row>
    <row r="45" spans="2:20">
      <c r="B45" s="626" t="s">
        <v>451</v>
      </c>
      <c r="C45" s="319">
        <f>C40-C43</f>
        <v>3670394.9295455534</v>
      </c>
      <c r="D45" s="319">
        <f t="shared" ref="D45:T45" si="55">D40-D43</f>
        <v>3670394.9295455534</v>
      </c>
      <c r="E45" s="319">
        <f t="shared" si="55"/>
        <v>3670394.9295455534</v>
      </c>
      <c r="F45" s="319">
        <f t="shared" si="55"/>
        <v>3670394.9295455534</v>
      </c>
      <c r="G45" s="319">
        <f t="shared" si="55"/>
        <v>3670394.9295455534</v>
      </c>
      <c r="H45" s="319">
        <f t="shared" si="55"/>
        <v>3670394.9295455534</v>
      </c>
      <c r="I45" s="319">
        <f t="shared" si="55"/>
        <v>3670394.9295455534</v>
      </c>
      <c r="J45" s="319">
        <f t="shared" si="55"/>
        <v>3670394.9295455534</v>
      </c>
      <c r="K45" s="319">
        <f t="shared" si="55"/>
        <v>3670394.9295455534</v>
      </c>
      <c r="L45" s="319">
        <f t="shared" si="55"/>
        <v>3670394.9295455534</v>
      </c>
      <c r="M45" s="319">
        <f t="shared" si="55"/>
        <v>3670394.9295455534</v>
      </c>
      <c r="N45" s="319">
        <f t="shared" si="55"/>
        <v>3670394.9295455534</v>
      </c>
      <c r="O45" s="319">
        <f t="shared" si="55"/>
        <v>3670394.9295455534</v>
      </c>
      <c r="P45" s="319">
        <f t="shared" si="55"/>
        <v>3670394.9295455534</v>
      </c>
      <c r="Q45" s="319">
        <f t="shared" si="55"/>
        <v>3670394.9295455534</v>
      </c>
      <c r="R45" s="319">
        <f t="shared" si="55"/>
        <v>3670394.9295455534</v>
      </c>
      <c r="S45" s="319">
        <f t="shared" si="55"/>
        <v>3670394.9295455534</v>
      </c>
      <c r="T45" s="319">
        <f t="shared" si="55"/>
        <v>3670394.9295455534</v>
      </c>
    </row>
    <row r="46" spans="2:20">
      <c r="B46" s="626" t="s">
        <v>452</v>
      </c>
      <c r="C46" s="319">
        <f t="shared" ref="C46:T46" si="56">SUM(C30,C25,C20,C15)</f>
        <v>48076.862500000003</v>
      </c>
      <c r="D46" s="319">
        <f t="shared" si="56"/>
        <v>48148.637499999997</v>
      </c>
      <c r="E46" s="319">
        <f t="shared" si="56"/>
        <v>47861.537499999999</v>
      </c>
      <c r="F46" s="319">
        <f t="shared" si="56"/>
        <v>47263.412500000006</v>
      </c>
      <c r="G46" s="319">
        <f t="shared" si="56"/>
        <v>46043.237500000003</v>
      </c>
      <c r="H46" s="319">
        <f t="shared" si="56"/>
        <v>46043.237500000003</v>
      </c>
      <c r="I46" s="319">
        <f t="shared" si="56"/>
        <v>44703.4375</v>
      </c>
      <c r="J46" s="319">
        <f t="shared" si="56"/>
        <v>44655.587500000001</v>
      </c>
      <c r="K46" s="319">
        <f t="shared" si="56"/>
        <v>44009.612500000003</v>
      </c>
      <c r="L46" s="319">
        <f t="shared" si="56"/>
        <v>43985.6875</v>
      </c>
      <c r="M46" s="319">
        <f t="shared" si="56"/>
        <v>43985.6875</v>
      </c>
      <c r="N46" s="319">
        <f t="shared" si="56"/>
        <v>43985.6875</v>
      </c>
      <c r="O46" s="319">
        <f t="shared" si="56"/>
        <v>43722.512499999997</v>
      </c>
      <c r="P46" s="319">
        <f t="shared" si="56"/>
        <v>43722.512499999997</v>
      </c>
      <c r="Q46" s="319">
        <f t="shared" si="56"/>
        <v>43722.512499999997</v>
      </c>
      <c r="R46" s="319">
        <f t="shared" si="56"/>
        <v>43722.512499999997</v>
      </c>
      <c r="S46" s="319">
        <f t="shared" si="56"/>
        <v>43746.4375</v>
      </c>
      <c r="T46" s="319">
        <f t="shared" si="56"/>
        <v>43746.4375</v>
      </c>
    </row>
    <row r="47" spans="2:20">
      <c r="B47" s="626"/>
    </row>
    <row r="48" spans="2:20">
      <c r="B48" s="626" t="s">
        <v>453</v>
      </c>
      <c r="C48" s="623">
        <f>'Operating Model'!AH56/'Operating Model'!AH59</f>
        <v>1.1753487358326068E-3</v>
      </c>
    </row>
  </sheetData>
  <mergeCells count="5">
    <mergeCell ref="C4:D4"/>
    <mergeCell ref="E4:H4"/>
    <mergeCell ref="I4:L4"/>
    <mergeCell ref="M4:P4"/>
    <mergeCell ref="Q4:T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7D68-2A93-4043-A51B-10665BF7D044}">
  <sheetPr>
    <tabColor rgb="FF002060"/>
  </sheetPr>
  <dimension ref="A1:AF43"/>
  <sheetViews>
    <sheetView zoomScaleNormal="100" workbookViewId="0"/>
  </sheetViews>
  <sheetFormatPr defaultColWidth="9.140625" defaultRowHeight="15"/>
  <cols>
    <col min="1" max="1" width="1.7109375" style="19" customWidth="1"/>
    <col min="2" max="2" width="36.42578125" style="19" bestFit="1" customWidth="1"/>
    <col min="3" max="3" width="16.42578125" style="19" bestFit="1" customWidth="1"/>
    <col min="4" max="6" width="10.42578125" style="19" bestFit="1" customWidth="1"/>
    <col min="7" max="7" width="13.7109375" style="19" bestFit="1" customWidth="1"/>
    <col min="8" max="8" width="12.28515625" style="19" bestFit="1" customWidth="1"/>
    <col min="9" max="9" width="14.28515625" style="19" bestFit="1" customWidth="1"/>
    <col min="10" max="10" width="10.42578125" style="19" bestFit="1" customWidth="1"/>
    <col min="11" max="12" width="14.7109375" style="19" bestFit="1" customWidth="1"/>
    <col min="13" max="13" width="9.140625" style="19"/>
    <col min="14" max="17" width="14.7109375" style="19" bestFit="1" customWidth="1"/>
    <col min="18" max="18" width="9.140625" style="19"/>
    <col min="19" max="22" width="14.7109375" style="19" bestFit="1" customWidth="1"/>
    <col min="23" max="23" width="9.140625" style="19"/>
    <col min="24" max="27" width="14.7109375" style="19" bestFit="1" customWidth="1"/>
    <col min="28" max="28" width="9.140625" style="19"/>
    <col min="29" max="32" width="14.7109375" style="19" bestFit="1" customWidth="1"/>
    <col min="33" max="16384" width="9.140625" style="19"/>
  </cols>
  <sheetData>
    <row r="1" spans="1:32" ht="9.9499999999999993" customHeight="1" thickBot="1">
      <c r="A1" s="21"/>
      <c r="B1" s="21"/>
      <c r="C1" s="21"/>
      <c r="D1" s="21"/>
      <c r="E1" s="21"/>
      <c r="F1" s="21"/>
      <c r="G1" s="21"/>
      <c r="H1" s="21"/>
      <c r="I1" s="21"/>
      <c r="J1" s="21"/>
      <c r="K1" s="21"/>
      <c r="L1" s="21"/>
      <c r="M1" s="21"/>
      <c r="N1" s="21"/>
      <c r="O1" s="21"/>
      <c r="P1" s="21"/>
      <c r="Q1" s="21"/>
      <c r="R1" s="21"/>
      <c r="S1" s="21"/>
      <c r="T1" s="21"/>
      <c r="U1" s="21"/>
      <c r="V1" s="21"/>
    </row>
    <row r="2" spans="1:32" ht="17.25" thickBot="1">
      <c r="A2" s="21"/>
      <c r="B2" s="57" t="s">
        <v>179</v>
      </c>
      <c r="C2" s="58"/>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60"/>
    </row>
    <row r="3" spans="1:32" ht="17.25" thickBot="1">
      <c r="A3" s="21"/>
      <c r="B3" s="21"/>
      <c r="C3" s="21"/>
      <c r="D3" s="21"/>
      <c r="E3" s="21"/>
      <c r="F3" s="21"/>
      <c r="G3" s="21"/>
      <c r="H3" s="21"/>
      <c r="I3" s="21"/>
      <c r="J3" s="21"/>
      <c r="K3" s="21"/>
      <c r="L3" s="21"/>
      <c r="M3" s="21"/>
      <c r="N3" s="21"/>
      <c r="O3" s="21"/>
      <c r="P3" s="21"/>
      <c r="Q3" s="21"/>
      <c r="R3" s="21"/>
      <c r="S3" s="21"/>
      <c r="T3" s="21"/>
      <c r="U3" s="21"/>
      <c r="V3" s="21"/>
    </row>
    <row r="4" spans="1:32" ht="17.25" thickBot="1">
      <c r="A4" s="21"/>
      <c r="B4" s="56" t="s">
        <v>178</v>
      </c>
      <c r="C4" s="18"/>
      <c r="D4" s="55">
        <v>2022</v>
      </c>
      <c r="E4" s="54"/>
      <c r="F4" s="54"/>
      <c r="G4" s="53"/>
      <c r="H4" s="21"/>
      <c r="I4" s="55">
        <v>2023</v>
      </c>
      <c r="J4" s="54"/>
      <c r="K4" s="54"/>
      <c r="L4" s="53"/>
      <c r="M4" s="18"/>
      <c r="N4" s="55">
        <v>2024</v>
      </c>
      <c r="O4" s="54"/>
      <c r="P4" s="54"/>
      <c r="Q4" s="53"/>
      <c r="R4" s="21"/>
      <c r="S4" s="55">
        <v>2025</v>
      </c>
      <c r="T4" s="54"/>
      <c r="U4" s="54"/>
      <c r="V4" s="53"/>
      <c r="X4" s="55">
        <v>2026</v>
      </c>
      <c r="Y4" s="54"/>
      <c r="Z4" s="54"/>
      <c r="AA4" s="53"/>
      <c r="AC4" s="55">
        <v>2027</v>
      </c>
      <c r="AD4" s="54"/>
      <c r="AE4" s="54"/>
      <c r="AF4" s="53"/>
    </row>
    <row r="5" spans="1:32" ht="16.5">
      <c r="A5" s="21"/>
      <c r="B5" s="52" t="s">
        <v>177</v>
      </c>
      <c r="C5" s="21"/>
      <c r="D5" s="36" t="s">
        <v>176</v>
      </c>
      <c r="E5" s="35" t="s">
        <v>175</v>
      </c>
      <c r="F5" s="35" t="s">
        <v>174</v>
      </c>
      <c r="G5" s="34" t="s">
        <v>173</v>
      </c>
      <c r="H5" s="51"/>
      <c r="I5" s="36" t="s">
        <v>176</v>
      </c>
      <c r="J5" s="35" t="s">
        <v>175</v>
      </c>
      <c r="K5" s="62" t="s">
        <v>174</v>
      </c>
      <c r="L5" s="63" t="s">
        <v>173</v>
      </c>
      <c r="M5" s="51"/>
      <c r="N5" s="61" t="s">
        <v>176</v>
      </c>
      <c r="O5" s="62" t="s">
        <v>175</v>
      </c>
      <c r="P5" s="62" t="s">
        <v>174</v>
      </c>
      <c r="Q5" s="63" t="s">
        <v>173</v>
      </c>
      <c r="R5" s="51"/>
      <c r="S5" s="61" t="s">
        <v>176</v>
      </c>
      <c r="T5" s="62" t="s">
        <v>175</v>
      </c>
      <c r="U5" s="62" t="s">
        <v>174</v>
      </c>
      <c r="V5" s="63" t="s">
        <v>173</v>
      </c>
      <c r="X5" s="61" t="s">
        <v>176</v>
      </c>
      <c r="Y5" s="62" t="s">
        <v>175</v>
      </c>
      <c r="Z5" s="62" t="s">
        <v>174</v>
      </c>
      <c r="AA5" s="63" t="s">
        <v>173</v>
      </c>
      <c r="AC5" s="61" t="s">
        <v>176</v>
      </c>
      <c r="AD5" s="62" t="s">
        <v>175</v>
      </c>
      <c r="AE5" s="62" t="s">
        <v>174</v>
      </c>
      <c r="AF5" s="63" t="s">
        <v>173</v>
      </c>
    </row>
    <row r="6" spans="1:32" ht="16.5">
      <c r="A6" s="21"/>
      <c r="B6" s="47" t="s">
        <v>172</v>
      </c>
      <c r="C6" s="21" t="s">
        <v>171</v>
      </c>
      <c r="D6" s="50">
        <f>'Operating Model'!AA86</f>
        <v>-354965</v>
      </c>
      <c r="E6" s="71">
        <f>'Operating Model'!AB86</f>
        <v>-938735</v>
      </c>
      <c r="F6" s="71">
        <f>'Operating Model'!AC86</f>
        <v>-685845</v>
      </c>
      <c r="G6" s="49">
        <f>'Operating Model'!AD86</f>
        <v>-648763</v>
      </c>
      <c r="H6" s="39"/>
      <c r="I6" s="46">
        <f>'Operating Model'!AG86</f>
        <v>-626646</v>
      </c>
      <c r="J6" s="39">
        <f>'Operating Model'!AH86</f>
        <v>-787843</v>
      </c>
      <c r="K6" s="65">
        <f>-$C$22</f>
        <v>-62225.666666666664</v>
      </c>
      <c r="L6" s="65">
        <f>-$C$22</f>
        <v>-62225.666666666664</v>
      </c>
      <c r="M6" s="48"/>
      <c r="N6" s="65">
        <f>-$C$22</f>
        <v>-62225.666666666664</v>
      </c>
      <c r="O6" s="65">
        <f>-$C$22</f>
        <v>-62225.666666666664</v>
      </c>
      <c r="P6" s="65">
        <f>-$C$22</f>
        <v>-62225.666666666664</v>
      </c>
      <c r="Q6" s="65">
        <f>-$C$22</f>
        <v>-62225.666666666664</v>
      </c>
      <c r="R6" s="48"/>
      <c r="S6" s="64">
        <v>0</v>
      </c>
      <c r="T6" s="65">
        <v>0</v>
      </c>
      <c r="U6" s="65">
        <v>0</v>
      </c>
      <c r="V6" s="66">
        <v>0</v>
      </c>
      <c r="X6" s="64"/>
      <c r="Y6" s="65"/>
      <c r="Z6" s="65">
        <f>-$C$33</f>
        <v>0</v>
      </c>
      <c r="AA6" s="66">
        <f>-$C$33</f>
        <v>0</v>
      </c>
      <c r="AB6" s="601"/>
      <c r="AC6" s="65">
        <f>-$C$33</f>
        <v>0</v>
      </c>
      <c r="AD6" s="65">
        <f>-$C$33</f>
        <v>0</v>
      </c>
      <c r="AE6" s="65">
        <f>-$C$33</f>
        <v>0</v>
      </c>
      <c r="AF6" s="66">
        <f>-$C$33</f>
        <v>0</v>
      </c>
    </row>
    <row r="7" spans="1:32" ht="16.5">
      <c r="A7" s="21"/>
      <c r="B7" s="47" t="s">
        <v>170</v>
      </c>
      <c r="C7" s="21"/>
      <c r="D7" s="46">
        <f>-D6/D8</f>
        <v>5499.9224434471262</v>
      </c>
      <c r="E7" s="39">
        <f>-E6/E8</f>
        <v>17481.098370929267</v>
      </c>
      <c r="F7" s="39">
        <f>-F6/F8</f>
        <v>11640.275344204865</v>
      </c>
      <c r="G7" s="45">
        <f>-G6/G8</f>
        <v>9999.4301787652676</v>
      </c>
      <c r="H7" s="39"/>
      <c r="I7" s="46">
        <f>-I6/I8</f>
        <v>7058.4141367246466</v>
      </c>
      <c r="J7" s="39">
        <f>-J6/J8</f>
        <v>6268.143845970244</v>
      </c>
      <c r="K7" s="65">
        <f>-K6/K8</f>
        <v>457.70122770900144</v>
      </c>
      <c r="L7" s="66">
        <f>-L6/L8</f>
        <v>423.15095244210369</v>
      </c>
      <c r="M7" s="39"/>
      <c r="N7" s="64">
        <f>-N6/N8</f>
        <v>391.20875740036399</v>
      </c>
      <c r="O7" s="70">
        <f>-O6/O8</f>
        <v>361.67776767010031</v>
      </c>
      <c r="P7" s="65">
        <f>-P6/P8</f>
        <v>334.37596974076666</v>
      </c>
      <c r="Q7" s="66">
        <f>-Q6/Q8</f>
        <v>309.13508966927071</v>
      </c>
      <c r="R7" s="39"/>
      <c r="S7" s="64">
        <f>-S6/S8</f>
        <v>0</v>
      </c>
      <c r="T7" s="65">
        <f>-T6/T8</f>
        <v>0</v>
      </c>
      <c r="U7" s="65">
        <f>-U6/U8</f>
        <v>0</v>
      </c>
      <c r="V7" s="66">
        <f>-V6/V8</f>
        <v>0</v>
      </c>
      <c r="X7" s="64">
        <f>-X6/X8</f>
        <v>0</v>
      </c>
      <c r="Y7" s="65">
        <f>-Y6/Y8</f>
        <v>0</v>
      </c>
      <c r="Z7" s="65">
        <f>-Z6/Z8</f>
        <v>0</v>
      </c>
      <c r="AA7" s="66">
        <f>-AA6/AA8</f>
        <v>0</v>
      </c>
      <c r="AC7" s="64">
        <f>-AC6/AC8</f>
        <v>0</v>
      </c>
      <c r="AD7" s="65">
        <f>-AD6/AD8</f>
        <v>0</v>
      </c>
      <c r="AE7" s="65">
        <f>-AE6/AE8</f>
        <v>0</v>
      </c>
      <c r="AF7" s="66">
        <f>-AF6/AF8</f>
        <v>0</v>
      </c>
    </row>
    <row r="8" spans="1:32" ht="16.5">
      <c r="A8" s="21"/>
      <c r="B8" s="180" t="s">
        <v>220</v>
      </c>
      <c r="C8" s="21"/>
      <c r="D8" s="608">
        <f>Beta!C1073</f>
        <v>64.540001000000004</v>
      </c>
      <c r="E8" s="609">
        <f>Beta!C1135</f>
        <v>53.700001</v>
      </c>
      <c r="F8" s="609">
        <f>Beta!C1199</f>
        <v>58.919998</v>
      </c>
      <c r="G8" s="610">
        <f>Beta!C1262</f>
        <v>64.879997000000003</v>
      </c>
      <c r="H8" s="39"/>
      <c r="I8" s="608">
        <f>Beta!C1324</f>
        <v>88.779999000000004</v>
      </c>
      <c r="J8" s="609">
        <f>'Tear Sheet'!H10</f>
        <v>125.69</v>
      </c>
      <c r="K8" s="606">
        <f>J8*(1+$C$24)</f>
        <v>135.95258849999999</v>
      </c>
      <c r="L8" s="607">
        <f>K8*(1+$C$24)</f>
        <v>147.05311735102498</v>
      </c>
      <c r="M8" s="39"/>
      <c r="N8" s="612">
        <f>L8*(1+$C$24)</f>
        <v>159.06000438273617</v>
      </c>
      <c r="O8" s="606">
        <f>N8*(1+$C$24)</f>
        <v>172.04725374058657</v>
      </c>
      <c r="P8" s="606">
        <f>O8*(1+$C$24)</f>
        <v>186.09491200850547</v>
      </c>
      <c r="Q8" s="607">
        <f>P8*(1+$C$24)</f>
        <v>201.28956157399995</v>
      </c>
      <c r="R8" s="39"/>
      <c r="S8" s="612">
        <f>Q8*(1+2%)</f>
        <v>205.31535280547996</v>
      </c>
      <c r="T8" s="606">
        <f>S8*(1+2%)</f>
        <v>209.42165986158957</v>
      </c>
      <c r="U8" s="606">
        <f>T8*(1+2%)</f>
        <v>213.61009305882138</v>
      </c>
      <c r="V8" s="607">
        <f>U8*(1+2%)</f>
        <v>217.8822949199978</v>
      </c>
      <c r="X8" s="612">
        <f>V8*(1+2%)</f>
        <v>222.23994081839777</v>
      </c>
      <c r="Y8" s="606">
        <f>X8*(1+2%)</f>
        <v>226.68473963476572</v>
      </c>
      <c r="Z8" s="606">
        <f>Y8*(1+2%)</f>
        <v>231.21843442746103</v>
      </c>
      <c r="AA8" s="607">
        <f>Z8*(1+2%)</f>
        <v>235.84280311601026</v>
      </c>
      <c r="AC8" s="612">
        <f>AA8*(1+2%)</f>
        <v>240.55965917833046</v>
      </c>
      <c r="AD8" s="606">
        <f>AC8*(1+2%)</f>
        <v>245.37085236189708</v>
      </c>
      <c r="AE8" s="606">
        <f>AD8*(1+2%)</f>
        <v>250.27826940913502</v>
      </c>
      <c r="AF8" s="607">
        <f>AE8*(1+2%)</f>
        <v>255.28383479731772</v>
      </c>
    </row>
    <row r="9" spans="1:32" ht="17.25" thickBot="1">
      <c r="A9" s="21"/>
      <c r="B9" s="44" t="s">
        <v>169</v>
      </c>
      <c r="C9" s="21"/>
      <c r="D9" s="43">
        <f>'Operating Model'!AA23</f>
        <v>179546</v>
      </c>
      <c r="E9" s="42">
        <f>'Operating Model'!AB23</f>
        <v>171549</v>
      </c>
      <c r="F9" s="42">
        <f>'Operating Model'!AC23</f>
        <v>156493</v>
      </c>
      <c r="G9" s="41">
        <f>'Operating Model'!AD23</f>
        <v>137839.43535486085</v>
      </c>
      <c r="H9" s="40"/>
      <c r="I9" s="72">
        <f>'Operating Model'!AG23</f>
        <v>138412</v>
      </c>
      <c r="J9" s="73">
        <f>'Operating Model'!AH23</f>
        <v>128066</v>
      </c>
      <c r="K9" s="68">
        <f>J9-K7</f>
        <v>127608.298772291</v>
      </c>
      <c r="L9" s="69">
        <f>K9-L7</f>
        <v>127185.14781984891</v>
      </c>
      <c r="M9" s="39"/>
      <c r="N9" s="67">
        <f>L9-N7</f>
        <v>126793.93906244854</v>
      </c>
      <c r="O9" s="68">
        <f>N9-O7</f>
        <v>126432.26129477844</v>
      </c>
      <c r="P9" s="68">
        <f>O9-P7</f>
        <v>126097.88532503767</v>
      </c>
      <c r="Q9" s="69">
        <f>P9-Q7</f>
        <v>125788.7502353684</v>
      </c>
      <c r="R9" s="39"/>
      <c r="S9" s="67">
        <f>Q9-S7</f>
        <v>125788.7502353684</v>
      </c>
      <c r="T9" s="68">
        <f>S9-T7</f>
        <v>125788.7502353684</v>
      </c>
      <c r="U9" s="68">
        <f>T9-U7</f>
        <v>125788.7502353684</v>
      </c>
      <c r="V9" s="69">
        <f>U9-V7</f>
        <v>125788.7502353684</v>
      </c>
      <c r="X9" s="67">
        <f>V9-X7</f>
        <v>125788.7502353684</v>
      </c>
      <c r="Y9" s="68">
        <f>X9-Y7</f>
        <v>125788.7502353684</v>
      </c>
      <c r="Z9" s="68">
        <f>Y9-Z7</f>
        <v>125788.7502353684</v>
      </c>
      <c r="AA9" s="69">
        <f>Z9-AA7</f>
        <v>125788.7502353684</v>
      </c>
      <c r="AC9" s="67">
        <f>AA9-AC7</f>
        <v>125788.7502353684</v>
      </c>
      <c r="AD9" s="68">
        <f>AC9-AD7</f>
        <v>125788.7502353684</v>
      </c>
      <c r="AE9" s="68">
        <f>AD9-AE7</f>
        <v>125788.7502353684</v>
      </c>
      <c r="AF9" s="69">
        <f>AE9-AF7</f>
        <v>125788.7502353684</v>
      </c>
    </row>
    <row r="10" spans="1:32" ht="17.25" thickBot="1">
      <c r="A10" s="21"/>
      <c r="B10" s="18"/>
      <c r="C10" s="21"/>
      <c r="D10" s="21"/>
      <c r="E10" s="21"/>
      <c r="F10" s="18"/>
      <c r="G10" s="38">
        <v>1423.1560442977661</v>
      </c>
      <c r="H10" s="21"/>
      <c r="I10" s="21"/>
      <c r="J10" s="21"/>
      <c r="K10" s="21"/>
      <c r="L10" s="21"/>
      <c r="M10" s="21"/>
      <c r="N10" s="21"/>
      <c r="O10" s="21"/>
      <c r="P10" s="21"/>
      <c r="Q10" s="21"/>
      <c r="R10" s="21"/>
      <c r="S10" s="21"/>
      <c r="T10" s="21"/>
      <c r="U10" s="21"/>
      <c r="V10" s="21"/>
    </row>
    <row r="11" spans="1:32" ht="17.25" thickBot="1">
      <c r="A11" s="21"/>
      <c r="B11" s="32" t="s">
        <v>168</v>
      </c>
      <c r="C11" s="37" t="s">
        <v>351</v>
      </c>
      <c r="D11" s="37"/>
      <c r="E11" s="37"/>
      <c r="F11" s="31"/>
      <c r="G11" s="21"/>
      <c r="H11" s="21"/>
      <c r="I11" s="40"/>
      <c r="J11" s="21"/>
      <c r="K11" s="21"/>
      <c r="L11" s="21"/>
      <c r="M11" s="21"/>
      <c r="N11" s="21"/>
      <c r="O11" s="21"/>
      <c r="P11" s="21"/>
      <c r="Q11" s="21"/>
      <c r="R11" s="21"/>
      <c r="S11" s="21"/>
      <c r="T11" s="21"/>
      <c r="U11" s="21"/>
      <c r="V11" s="21"/>
    </row>
    <row r="12" spans="1:32" ht="16.5">
      <c r="A12" s="21"/>
      <c r="B12" s="36" t="s">
        <v>167</v>
      </c>
      <c r="C12" s="786" t="s">
        <v>494</v>
      </c>
      <c r="D12" s="786"/>
      <c r="E12" s="786"/>
      <c r="F12" s="787"/>
      <c r="G12" s="21"/>
      <c r="H12" s="21"/>
      <c r="I12" s="40"/>
      <c r="J12" s="21"/>
      <c r="K12" s="21"/>
      <c r="L12" s="21"/>
      <c r="M12" s="21"/>
      <c r="N12" s="21"/>
      <c r="O12" s="21"/>
      <c r="P12" s="21"/>
      <c r="Q12" s="21"/>
      <c r="R12" s="21"/>
      <c r="S12" s="21"/>
      <c r="T12" s="21"/>
      <c r="U12" s="21"/>
      <c r="V12" s="21"/>
    </row>
    <row r="13" spans="1:32" ht="17.25" thickBot="1">
      <c r="A13" s="21"/>
      <c r="B13" s="33" t="s">
        <v>166</v>
      </c>
      <c r="C13" s="788" t="s">
        <v>495</v>
      </c>
      <c r="D13" s="788"/>
      <c r="E13" s="788"/>
      <c r="F13" s="789"/>
      <c r="G13" s="21"/>
      <c r="H13" s="21"/>
      <c r="I13" s="680"/>
      <c r="J13" s="21"/>
      <c r="L13" s="21"/>
      <c r="M13" s="21"/>
      <c r="N13" s="21"/>
      <c r="O13" s="21"/>
      <c r="P13" s="21"/>
      <c r="Q13" s="21"/>
      <c r="R13" s="21"/>
      <c r="S13" s="21"/>
      <c r="T13" s="21"/>
      <c r="U13" s="21"/>
      <c r="V13" s="21"/>
    </row>
    <row r="14" spans="1:32" ht="16.5">
      <c r="A14" s="21"/>
      <c r="B14" s="51"/>
      <c r="C14" s="51"/>
      <c r="D14" s="51"/>
      <c r="E14" s="51"/>
      <c r="F14" s="51"/>
      <c r="G14" s="21"/>
      <c r="H14" s="21"/>
      <c r="I14" s="21"/>
      <c r="J14" s="21"/>
      <c r="K14" s="21"/>
      <c r="L14" s="21"/>
      <c r="M14" s="21"/>
      <c r="N14" s="21"/>
      <c r="O14" s="21"/>
      <c r="P14" s="21"/>
      <c r="Q14" s="21"/>
      <c r="R14" s="21"/>
      <c r="S14" s="21"/>
      <c r="T14" s="21"/>
      <c r="U14" s="21"/>
      <c r="V14" s="21"/>
    </row>
    <row r="15" spans="1:32" ht="17.25" thickBot="1">
      <c r="A15" s="21"/>
      <c r="D15" s="21"/>
      <c r="E15" s="21"/>
      <c r="F15" s="21"/>
      <c r="G15" s="21"/>
      <c r="H15" s="21"/>
      <c r="I15" s="21"/>
      <c r="J15" s="21"/>
      <c r="K15" s="21"/>
      <c r="L15" s="21"/>
      <c r="M15" s="21"/>
      <c r="N15" s="21"/>
      <c r="O15" s="21"/>
      <c r="P15" s="21"/>
      <c r="Q15" s="21"/>
      <c r="R15" s="21"/>
      <c r="S15" s="21"/>
      <c r="T15" s="21"/>
      <c r="U15" s="21"/>
      <c r="V15" s="21"/>
    </row>
    <row r="16" spans="1:32" ht="17.25" thickBot="1">
      <c r="A16" s="21"/>
      <c r="B16" s="32" t="s">
        <v>165</v>
      </c>
      <c r="C16" s="31" t="s">
        <v>164</v>
      </c>
      <c r="D16" s="21"/>
      <c r="E16" s="21"/>
      <c r="F16" s="21"/>
      <c r="G16" s="21"/>
      <c r="H16" s="40"/>
      <c r="I16" s="21"/>
      <c r="J16" s="21"/>
      <c r="K16" s="21"/>
      <c r="L16" s="21"/>
      <c r="M16" s="21"/>
      <c r="N16" s="21"/>
      <c r="O16" s="21"/>
      <c r="P16" s="21"/>
      <c r="Q16" s="21"/>
      <c r="R16" s="21"/>
      <c r="S16" s="21"/>
      <c r="T16" s="21"/>
      <c r="U16" s="21"/>
      <c r="V16" s="21"/>
      <c r="AA16" s="602">
        <f>SUM(Z6:AA6,AC6:AF6)</f>
        <v>0</v>
      </c>
    </row>
    <row r="17" spans="1:22" ht="16.5">
      <c r="A17" s="21"/>
      <c r="B17" s="30" t="s">
        <v>163</v>
      </c>
      <c r="C17" s="29">
        <f>'Operating Model'!AH23</f>
        <v>128066</v>
      </c>
      <c r="D17" s="21"/>
      <c r="E17" s="21"/>
      <c r="F17" s="21"/>
      <c r="G17" s="21"/>
      <c r="H17" s="40"/>
      <c r="I17" s="21"/>
      <c r="J17" s="21"/>
      <c r="K17" s="21"/>
      <c r="L17" s="21"/>
      <c r="M17" s="21"/>
      <c r="N17" s="21"/>
      <c r="O17" s="21"/>
      <c r="P17" s="21"/>
      <c r="Q17" s="21"/>
      <c r="R17" s="21"/>
      <c r="S17" s="21"/>
      <c r="T17" s="21"/>
      <c r="U17" s="21"/>
      <c r="V17" s="21"/>
    </row>
    <row r="18" spans="1:22" ht="16.5">
      <c r="A18" s="21"/>
      <c r="B18" s="25" t="s">
        <v>162</v>
      </c>
      <c r="C18" s="27">
        <f>1*1000000</f>
        <v>1000000</v>
      </c>
      <c r="D18" s="21"/>
      <c r="E18" s="21"/>
      <c r="F18" s="21"/>
      <c r="G18" s="21"/>
      <c r="I18" s="40"/>
      <c r="J18" s="21"/>
      <c r="K18" s="21"/>
      <c r="L18" s="21"/>
      <c r="M18" s="21"/>
      <c r="N18" s="21"/>
      <c r="O18" s="21"/>
      <c r="P18" s="21"/>
      <c r="Q18" s="21"/>
      <c r="R18" s="21"/>
      <c r="S18" s="21"/>
      <c r="T18" s="21"/>
      <c r="U18" s="21"/>
      <c r="V18" s="21"/>
    </row>
    <row r="19" spans="1:22" ht="16.5">
      <c r="A19" s="21"/>
      <c r="B19" s="25" t="s">
        <v>161</v>
      </c>
      <c r="C19" s="27">
        <f>C18+I6</f>
        <v>373354</v>
      </c>
      <c r="D19" s="21"/>
      <c r="E19" s="21"/>
      <c r="F19" s="190"/>
      <c r="G19" s="40"/>
      <c r="H19" s="40"/>
      <c r="I19" s="21"/>
      <c r="J19" s="21"/>
      <c r="K19" s="21"/>
      <c r="L19" s="21"/>
      <c r="M19" s="21"/>
      <c r="N19" s="21"/>
      <c r="O19" s="21"/>
      <c r="P19" s="21"/>
      <c r="Q19" s="21"/>
      <c r="R19" s="21"/>
      <c r="S19" s="21"/>
      <c r="T19" s="21"/>
      <c r="U19" s="21"/>
      <c r="V19" s="21"/>
    </row>
    <row r="20" spans="1:22" ht="16.5">
      <c r="A20" s="21"/>
      <c r="B20" s="25" t="s">
        <v>160</v>
      </c>
      <c r="C20" s="28">
        <f>'Tear Sheet'!H9</f>
        <v>187.27029536766156</v>
      </c>
      <c r="D20" s="21"/>
      <c r="E20" s="21"/>
      <c r="F20" s="21"/>
      <c r="G20" s="21"/>
      <c r="H20" s="21"/>
      <c r="I20" s="21"/>
      <c r="J20" s="21"/>
      <c r="K20" s="21"/>
      <c r="L20" s="21"/>
      <c r="M20" s="21"/>
      <c r="N20" s="21"/>
      <c r="O20" s="21"/>
      <c r="P20" s="21"/>
      <c r="Q20" s="21"/>
      <c r="R20" s="21"/>
      <c r="S20" s="21"/>
      <c r="T20" s="21"/>
      <c r="U20" s="21"/>
      <c r="V20" s="21"/>
    </row>
    <row r="21" spans="1:22" ht="16.5">
      <c r="A21" s="21"/>
      <c r="B21" s="25" t="s">
        <v>159</v>
      </c>
      <c r="C21" s="24">
        <v>0.4899</v>
      </c>
      <c r="D21" s="21"/>
      <c r="E21" s="21"/>
      <c r="F21" s="21"/>
      <c r="G21" s="21"/>
      <c r="H21" s="21"/>
      <c r="I21" s="21"/>
      <c r="J21" s="21"/>
      <c r="K21" s="21"/>
      <c r="L21" s="21"/>
      <c r="M21" s="21"/>
      <c r="N21" s="21"/>
      <c r="O21" s="21"/>
      <c r="P21" s="21"/>
      <c r="Q21" s="21"/>
      <c r="R21" s="21"/>
      <c r="S21" s="21"/>
      <c r="T21" s="21"/>
      <c r="U21" s="21"/>
      <c r="V21" s="21"/>
    </row>
    <row r="22" spans="1:22" ht="16.5">
      <c r="A22" s="21"/>
      <c r="B22" s="25" t="s">
        <v>158</v>
      </c>
      <c r="C22" s="27">
        <f>C19/C23</f>
        <v>62225.666666666664</v>
      </c>
      <c r="D22" s="21"/>
      <c r="E22" s="21"/>
      <c r="F22" s="21"/>
      <c r="G22" s="21"/>
      <c r="H22" s="21"/>
      <c r="I22" s="21"/>
      <c r="J22" s="21"/>
      <c r="K22" s="21"/>
      <c r="L22" s="21"/>
      <c r="M22" s="21"/>
      <c r="N22" s="21"/>
      <c r="O22" s="21"/>
      <c r="P22" s="21"/>
      <c r="Q22" s="21"/>
      <c r="R22" s="21"/>
      <c r="S22" s="21"/>
      <c r="T22" s="21"/>
      <c r="U22" s="21"/>
      <c r="V22" s="21"/>
    </row>
    <row r="23" spans="1:22" ht="16.5">
      <c r="A23" s="21"/>
      <c r="B23" s="25" t="s">
        <v>157</v>
      </c>
      <c r="C23" s="26">
        <v>6</v>
      </c>
      <c r="D23" s="21"/>
      <c r="E23" s="21"/>
      <c r="F23" s="21"/>
      <c r="G23" s="21"/>
      <c r="H23" s="21"/>
      <c r="I23" s="21"/>
      <c r="J23" s="21"/>
      <c r="K23" s="21"/>
      <c r="L23" s="21"/>
      <c r="M23" s="21"/>
      <c r="N23" s="21"/>
      <c r="O23" s="21"/>
      <c r="P23" s="21"/>
      <c r="Q23" s="21"/>
      <c r="R23" s="21"/>
      <c r="S23" s="21"/>
      <c r="T23" s="21"/>
      <c r="U23" s="21"/>
      <c r="V23" s="21"/>
    </row>
    <row r="24" spans="1:22" ht="16.5">
      <c r="A24" s="21"/>
      <c r="B24" s="25" t="s">
        <v>156</v>
      </c>
      <c r="C24" s="24">
        <f>C21/C23</f>
        <v>8.165E-2</v>
      </c>
      <c r="D24" s="21"/>
      <c r="E24" s="21"/>
      <c r="F24" s="21"/>
      <c r="G24" s="21"/>
      <c r="H24" s="21"/>
      <c r="I24" s="21"/>
      <c r="J24" s="21"/>
      <c r="K24" s="21"/>
      <c r="L24" s="21"/>
      <c r="M24" s="21"/>
      <c r="N24" s="21"/>
      <c r="O24" s="21"/>
      <c r="P24" s="21"/>
      <c r="Q24" s="21"/>
      <c r="R24" s="21"/>
      <c r="S24" s="21"/>
      <c r="T24" s="21"/>
      <c r="U24" s="21"/>
      <c r="V24" s="21"/>
    </row>
    <row r="25" spans="1:22" ht="17.25" thickBot="1">
      <c r="A25" s="21"/>
      <c r="B25" s="23" t="s">
        <v>155</v>
      </c>
      <c r="C25" s="22">
        <f>SUM(K6:L6,N6:Q6,S6:V6)</f>
        <v>-373354</v>
      </c>
      <c r="D25" s="21"/>
      <c r="E25" s="21"/>
      <c r="F25" s="21"/>
      <c r="G25" s="21"/>
      <c r="H25" s="21"/>
      <c r="I25" s="21"/>
      <c r="J25" s="21"/>
      <c r="K25" s="21"/>
      <c r="L25" s="21"/>
      <c r="M25" s="21"/>
      <c r="N25" s="21"/>
      <c r="O25" s="21"/>
      <c r="P25" s="21"/>
      <c r="Q25" s="21"/>
      <c r="R25" s="21"/>
      <c r="S25" s="21"/>
      <c r="T25" s="21"/>
      <c r="U25" s="21"/>
      <c r="V25" s="21"/>
    </row>
    <row r="26" spans="1:22" ht="17.25" thickBot="1">
      <c r="A26" s="21"/>
      <c r="B26" s="21"/>
      <c r="C26" s="21"/>
      <c r="D26" s="21"/>
      <c r="E26" s="21"/>
      <c r="F26" s="21"/>
      <c r="G26" s="21"/>
      <c r="H26" s="21"/>
      <c r="I26" s="21"/>
      <c r="J26" s="21"/>
      <c r="K26" s="21"/>
      <c r="L26" s="21"/>
      <c r="M26" s="21"/>
      <c r="N26" s="21"/>
      <c r="O26" s="21"/>
      <c r="P26" s="21"/>
      <c r="Q26" s="21"/>
      <c r="R26" s="21"/>
      <c r="S26" s="21"/>
      <c r="T26" s="21"/>
      <c r="U26" s="21"/>
      <c r="V26" s="21"/>
    </row>
    <row r="27" spans="1:22" ht="17.25" thickBot="1">
      <c r="A27" s="21"/>
      <c r="B27" s="32"/>
      <c r="C27" s="31"/>
      <c r="G27" s="21"/>
      <c r="H27" s="21"/>
      <c r="I27" s="21"/>
      <c r="J27" s="21"/>
      <c r="K27" s="21"/>
      <c r="L27" s="21"/>
      <c r="M27" s="21"/>
      <c r="N27" s="21"/>
      <c r="O27" s="21"/>
      <c r="P27" s="21"/>
      <c r="Q27" s="21"/>
      <c r="R27" s="21"/>
      <c r="S27" s="21"/>
      <c r="T27" s="21"/>
      <c r="U27" s="21"/>
      <c r="V27" s="21"/>
    </row>
    <row r="28" spans="1:22" ht="16.5">
      <c r="A28" s="21"/>
      <c r="B28" s="30"/>
      <c r="C28" s="29"/>
      <c r="G28" s="21"/>
      <c r="H28" s="21"/>
      <c r="I28" s="21"/>
      <c r="J28" s="21"/>
      <c r="K28" s="21"/>
      <c r="L28" s="21"/>
      <c r="M28" s="21"/>
      <c r="N28" s="21"/>
      <c r="O28" s="21"/>
      <c r="P28" s="21"/>
      <c r="Q28" s="21"/>
      <c r="R28" s="21"/>
      <c r="S28" s="21"/>
      <c r="T28" s="21"/>
      <c r="U28" s="21"/>
      <c r="V28" s="21"/>
    </row>
    <row r="29" spans="1:22" ht="16.5">
      <c r="A29" s="21"/>
      <c r="B29" s="25"/>
      <c r="C29" s="27"/>
      <c r="G29" s="21"/>
      <c r="H29" s="21"/>
      <c r="I29" s="21"/>
      <c r="J29" s="21"/>
      <c r="K29" s="21"/>
      <c r="L29" s="21"/>
      <c r="M29" s="21"/>
      <c r="N29" s="21"/>
      <c r="O29" s="21"/>
      <c r="P29" s="21"/>
      <c r="Q29" s="21"/>
      <c r="R29" s="21"/>
      <c r="S29" s="21"/>
      <c r="T29" s="21"/>
      <c r="U29" s="21"/>
      <c r="V29" s="21"/>
    </row>
    <row r="30" spans="1:22" ht="16.5">
      <c r="B30" s="25"/>
      <c r="C30" s="27"/>
    </row>
    <row r="31" spans="1:22" ht="16.5">
      <c r="B31" s="25"/>
      <c r="C31" s="28"/>
    </row>
    <row r="32" spans="1:22" ht="16.5">
      <c r="B32" s="25"/>
      <c r="C32" s="24"/>
    </row>
    <row r="33" spans="2:3" ht="16.5">
      <c r="B33" s="25"/>
      <c r="C33" s="27"/>
    </row>
    <row r="34" spans="2:3" ht="16.5">
      <c r="B34" s="25"/>
      <c r="C34" s="26"/>
    </row>
    <row r="35" spans="2:3" ht="16.5">
      <c r="B35" s="25"/>
      <c r="C35" s="24"/>
    </row>
    <row r="36" spans="2:3" ht="17.25" thickBot="1">
      <c r="B36" s="23"/>
      <c r="C36" s="22"/>
    </row>
    <row r="43" spans="2:3">
      <c r="B43" s="20"/>
    </row>
  </sheetData>
  <mergeCells count="2">
    <mergeCell ref="C12:F12"/>
    <mergeCell ref="C13:F13"/>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5820-8615-486D-AD84-7D57B3EED2A3}">
  <sheetPr>
    <tabColor rgb="FF002060"/>
  </sheetPr>
  <dimension ref="B1:L2980"/>
  <sheetViews>
    <sheetView showGridLines="0" zoomScale="85" zoomScaleNormal="85" workbookViewId="0"/>
  </sheetViews>
  <sheetFormatPr defaultColWidth="9.140625" defaultRowHeight="16.5"/>
  <cols>
    <col min="1" max="1" width="1.7109375" style="18" customWidth="1"/>
    <col min="2" max="2" width="12.7109375" style="18" bestFit="1" customWidth="1"/>
    <col min="3" max="4" width="9.28515625" style="18" bestFit="1" customWidth="1"/>
    <col min="5" max="5" width="9.140625" style="18"/>
    <col min="6" max="6" width="12.7109375" style="18" bestFit="1" customWidth="1"/>
    <col min="7" max="8" width="9.28515625" style="18" bestFit="1" customWidth="1"/>
    <col min="9" max="10" width="9.140625" style="18"/>
    <col min="11" max="11" width="22.140625" style="18" bestFit="1" customWidth="1"/>
    <col min="12" max="12" width="9.42578125" style="18" bestFit="1" customWidth="1"/>
    <col min="13" max="14" width="9.140625" style="18"/>
    <col min="15" max="15" width="12.7109375" style="18" bestFit="1" customWidth="1"/>
    <col min="16" max="16384" width="9.140625" style="18"/>
  </cols>
  <sheetData>
    <row r="1" spans="2:12" ht="9.9499999999999993" customHeight="1" thickBot="1"/>
    <row r="2" spans="2:12" ht="17.25" thickBot="1">
      <c r="B2" s="792" t="s">
        <v>182</v>
      </c>
      <c r="C2" s="793"/>
      <c r="D2" s="794"/>
      <c r="F2" s="795" t="s">
        <v>184</v>
      </c>
      <c r="G2" s="796"/>
      <c r="H2" s="797"/>
      <c r="K2" s="790" t="s">
        <v>185</v>
      </c>
      <c r="L2" s="791"/>
    </row>
    <row r="3" spans="2:12">
      <c r="B3" s="629" t="s">
        <v>180</v>
      </c>
      <c r="C3" s="630" t="s">
        <v>181</v>
      </c>
      <c r="D3" s="631" t="s">
        <v>183</v>
      </c>
      <c r="F3" s="629" t="s">
        <v>180</v>
      </c>
      <c r="G3" s="630" t="s">
        <v>181</v>
      </c>
      <c r="H3" s="631" t="s">
        <v>183</v>
      </c>
      <c r="K3" s="25" t="s">
        <v>186</v>
      </c>
      <c r="L3" s="84">
        <f>SLOPE(D5:D1429,H5:H1429)</f>
        <v>1.5312872693718362</v>
      </c>
    </row>
    <row r="4" spans="2:12">
      <c r="B4" s="76">
        <v>43102</v>
      </c>
      <c r="C4" s="77">
        <v>22</v>
      </c>
      <c r="D4" s="75"/>
      <c r="F4" s="76">
        <v>43102</v>
      </c>
      <c r="G4" s="78">
        <v>33.360000999999997</v>
      </c>
      <c r="H4" s="75"/>
      <c r="K4" s="25" t="s">
        <v>187</v>
      </c>
      <c r="L4" s="85">
        <f>Summary!F15</f>
        <v>4.5600000000000002E-2</v>
      </c>
    </row>
    <row r="5" spans="2:12">
      <c r="B5" s="76">
        <v>43103</v>
      </c>
      <c r="C5" s="77">
        <v>22.41</v>
      </c>
      <c r="D5" s="79">
        <f>(C5-C4)/C4</f>
        <v>1.8636363636363642E-2</v>
      </c>
      <c r="F5" s="76">
        <v>43103</v>
      </c>
      <c r="G5" s="78">
        <v>33.630001</v>
      </c>
      <c r="H5" s="79">
        <f>(G5-G4)/G4</f>
        <v>8.0935249372445506E-3</v>
      </c>
      <c r="K5" s="25" t="s">
        <v>332</v>
      </c>
      <c r="L5" s="85">
        <f>Summary!F16</f>
        <v>4.4999999999999998E-2</v>
      </c>
    </row>
    <row r="6" spans="2:12" ht="17.25" thickBot="1">
      <c r="B6" s="76">
        <v>43104</v>
      </c>
      <c r="C6" s="77">
        <v>22.35</v>
      </c>
      <c r="D6" s="79">
        <f t="shared" ref="D6:D69" si="0">(C6-C5)/C5</f>
        <v>-2.6773761713520181E-3</v>
      </c>
      <c r="F6" s="76">
        <v>43104</v>
      </c>
      <c r="G6" s="78">
        <v>33.75</v>
      </c>
      <c r="H6" s="79">
        <f t="shared" ref="H6:H69" si="1">(G6-G5)/G5</f>
        <v>3.56821279904214E-3</v>
      </c>
      <c r="K6" s="23" t="s">
        <v>188</v>
      </c>
      <c r="L6" s="86">
        <f>L4+(L5*L3)</f>
        <v>0.11450792712173263</v>
      </c>
    </row>
    <row r="7" spans="2:12">
      <c r="B7" s="76">
        <v>43105</v>
      </c>
      <c r="C7" s="77">
        <v>22.780000999999999</v>
      </c>
      <c r="D7" s="79">
        <f t="shared" si="0"/>
        <v>1.923941834451889E-2</v>
      </c>
      <c r="F7" s="76">
        <v>43105</v>
      </c>
      <c r="G7" s="78">
        <v>33.950001</v>
      </c>
      <c r="H7" s="79">
        <f t="shared" si="1"/>
        <v>5.9259555555555652E-3</v>
      </c>
    </row>
    <row r="8" spans="2:12">
      <c r="B8" s="76">
        <v>43108</v>
      </c>
      <c r="C8" s="77">
        <v>22.67</v>
      </c>
      <c r="D8" s="79">
        <f t="shared" si="0"/>
        <v>-4.8288408766969286E-3</v>
      </c>
      <c r="F8" s="76">
        <v>43108</v>
      </c>
      <c r="G8" s="78">
        <v>34.020000000000003</v>
      </c>
      <c r="H8" s="79">
        <f t="shared" si="1"/>
        <v>2.0618261542909178E-3</v>
      </c>
    </row>
    <row r="9" spans="2:12">
      <c r="B9" s="76">
        <v>43109</v>
      </c>
      <c r="C9" s="77">
        <v>22.68</v>
      </c>
      <c r="D9" s="79">
        <f t="shared" si="0"/>
        <v>4.4111160123502471E-4</v>
      </c>
      <c r="F9" s="76">
        <v>43109</v>
      </c>
      <c r="G9" s="78">
        <v>34.049999</v>
      </c>
      <c r="H9" s="79">
        <f t="shared" si="1"/>
        <v>8.8180482069360826E-4</v>
      </c>
    </row>
    <row r="10" spans="2:12">
      <c r="B10" s="76">
        <v>43110</v>
      </c>
      <c r="C10" s="77">
        <v>22.129999000000002</v>
      </c>
      <c r="D10" s="79">
        <f t="shared" si="0"/>
        <v>-2.4250485008818261E-2</v>
      </c>
      <c r="F10" s="76">
        <v>43110</v>
      </c>
      <c r="G10" s="78">
        <v>34</v>
      </c>
      <c r="H10" s="79">
        <f t="shared" si="1"/>
        <v>-1.4683994557532787E-3</v>
      </c>
    </row>
    <row r="11" spans="2:12">
      <c r="B11" s="76">
        <v>43111</v>
      </c>
      <c r="C11" s="77">
        <v>22.459999</v>
      </c>
      <c r="D11" s="79">
        <f t="shared" si="0"/>
        <v>1.4911884993758846E-2</v>
      </c>
      <c r="F11" s="76">
        <v>43111</v>
      </c>
      <c r="G11" s="78">
        <v>34.290000999999997</v>
      </c>
      <c r="H11" s="79">
        <f t="shared" si="1"/>
        <v>8.5294411764704897E-3</v>
      </c>
    </row>
    <row r="12" spans="2:12">
      <c r="B12" s="76">
        <v>43112</v>
      </c>
      <c r="C12" s="77">
        <v>22.790001</v>
      </c>
      <c r="D12" s="79">
        <f t="shared" si="0"/>
        <v>1.4692876878578684E-2</v>
      </c>
      <c r="F12" s="76">
        <v>43112</v>
      </c>
      <c r="G12" s="78">
        <v>34.509998000000003</v>
      </c>
      <c r="H12" s="79">
        <f t="shared" si="1"/>
        <v>6.415777007414099E-3</v>
      </c>
    </row>
    <row r="13" spans="2:12">
      <c r="B13" s="76">
        <v>43116</v>
      </c>
      <c r="C13" s="77">
        <v>22.15</v>
      </c>
      <c r="D13" s="79">
        <f t="shared" si="0"/>
        <v>-2.8082534967857245E-2</v>
      </c>
      <c r="F13" s="76">
        <v>43116</v>
      </c>
      <c r="G13" s="78">
        <v>34.330002</v>
      </c>
      <c r="H13" s="79">
        <f t="shared" si="1"/>
        <v>-5.2157638490736135E-3</v>
      </c>
    </row>
    <row r="14" spans="2:12">
      <c r="B14" s="76">
        <v>43117</v>
      </c>
      <c r="C14" s="77">
        <v>22.790001</v>
      </c>
      <c r="D14" s="79">
        <f t="shared" si="0"/>
        <v>2.8893950338600524E-2</v>
      </c>
      <c r="F14" s="76">
        <v>43117</v>
      </c>
      <c r="G14" s="78">
        <v>34.650002000000001</v>
      </c>
      <c r="H14" s="79">
        <f t="shared" si="1"/>
        <v>9.3212927864088184E-3</v>
      </c>
    </row>
    <row r="15" spans="2:12">
      <c r="B15" s="76">
        <v>43118</v>
      </c>
      <c r="C15" s="77">
        <v>22.6</v>
      </c>
      <c r="D15" s="79">
        <f t="shared" si="0"/>
        <v>-8.3370334209287109E-3</v>
      </c>
      <c r="F15" s="76">
        <v>43118</v>
      </c>
      <c r="G15" s="78">
        <v>34.599997999999999</v>
      </c>
      <c r="H15" s="79">
        <f t="shared" si="1"/>
        <v>-1.4431167998201347E-3</v>
      </c>
    </row>
    <row r="16" spans="2:12">
      <c r="B16" s="76">
        <v>43119</v>
      </c>
      <c r="C16" s="77">
        <v>22.309999000000001</v>
      </c>
      <c r="D16" s="79">
        <f t="shared" si="0"/>
        <v>-1.2831902654867264E-2</v>
      </c>
      <c r="F16" s="76">
        <v>43119</v>
      </c>
      <c r="G16" s="78">
        <v>34.75</v>
      </c>
      <c r="H16" s="79">
        <f t="shared" si="1"/>
        <v>4.3353181696715887E-3</v>
      </c>
    </row>
    <row r="17" spans="2:8">
      <c r="B17" s="76">
        <v>43122</v>
      </c>
      <c r="C17" s="77">
        <v>22.74</v>
      </c>
      <c r="D17" s="79">
        <f t="shared" si="0"/>
        <v>1.9273913907391801E-2</v>
      </c>
      <c r="F17" s="76">
        <v>43122</v>
      </c>
      <c r="G17" s="78">
        <v>35.049999</v>
      </c>
      <c r="H17" s="79">
        <f t="shared" si="1"/>
        <v>8.633064748201429E-3</v>
      </c>
    </row>
    <row r="18" spans="2:8">
      <c r="B18" s="76">
        <v>43123</v>
      </c>
      <c r="C18" s="77">
        <v>23.030000999999999</v>
      </c>
      <c r="D18" s="79">
        <f t="shared" si="0"/>
        <v>1.2752902374670192E-2</v>
      </c>
      <c r="F18" s="76">
        <v>43123</v>
      </c>
      <c r="G18" s="78">
        <v>35.139999000000003</v>
      </c>
      <c r="H18" s="79">
        <f t="shared" si="1"/>
        <v>2.5677604156280694E-3</v>
      </c>
    </row>
    <row r="19" spans="2:8">
      <c r="B19" s="76">
        <v>43124</v>
      </c>
      <c r="C19" s="77">
        <v>22.379999000000002</v>
      </c>
      <c r="D19" s="79">
        <f t="shared" si="0"/>
        <v>-2.8224141197388447E-2</v>
      </c>
      <c r="F19" s="76">
        <v>43124</v>
      </c>
      <c r="G19" s="78">
        <v>35.110000999999997</v>
      </c>
      <c r="H19" s="79">
        <f t="shared" si="1"/>
        <v>-8.5367105445865793E-4</v>
      </c>
    </row>
    <row r="20" spans="2:8">
      <c r="B20" s="76">
        <v>43125</v>
      </c>
      <c r="C20" s="77">
        <v>22.43</v>
      </c>
      <c r="D20" s="79">
        <f t="shared" si="0"/>
        <v>2.2341824054593648E-3</v>
      </c>
      <c r="F20" s="76">
        <v>43125</v>
      </c>
      <c r="G20" s="78">
        <v>35.099997999999999</v>
      </c>
      <c r="H20" s="79">
        <f t="shared" si="1"/>
        <v>-2.8490457747345387E-4</v>
      </c>
    </row>
    <row r="21" spans="2:8">
      <c r="B21" s="76">
        <v>43126</v>
      </c>
      <c r="C21" s="77">
        <v>22.65</v>
      </c>
      <c r="D21" s="79">
        <f t="shared" si="0"/>
        <v>9.8082924654480097E-3</v>
      </c>
      <c r="F21" s="76">
        <v>43126</v>
      </c>
      <c r="G21" s="78">
        <v>35.450001</v>
      </c>
      <c r="H21" s="79">
        <f t="shared" si="1"/>
        <v>9.9715960097775773E-3</v>
      </c>
    </row>
    <row r="22" spans="2:8">
      <c r="B22" s="76">
        <v>43129</v>
      </c>
      <c r="C22" s="77">
        <v>21.74</v>
      </c>
      <c r="D22" s="79">
        <f t="shared" si="0"/>
        <v>-4.0176600441501113E-2</v>
      </c>
      <c r="F22" s="76">
        <v>43129</v>
      </c>
      <c r="G22" s="78">
        <v>35.25</v>
      </c>
      <c r="H22" s="79">
        <f t="shared" si="1"/>
        <v>-5.6417769917693466E-3</v>
      </c>
    </row>
    <row r="23" spans="2:8">
      <c r="B23" s="76">
        <v>43130</v>
      </c>
      <c r="C23" s="77">
        <v>21.52</v>
      </c>
      <c r="D23" s="79">
        <f t="shared" si="0"/>
        <v>-1.0119595216191301E-2</v>
      </c>
      <c r="F23" s="76">
        <v>43130</v>
      </c>
      <c r="G23" s="78">
        <v>34.880001</v>
      </c>
      <c r="H23" s="79">
        <f t="shared" si="1"/>
        <v>-1.0496425531914893E-2</v>
      </c>
    </row>
    <row r="24" spans="2:8">
      <c r="B24" s="76">
        <v>43131</v>
      </c>
      <c r="C24" s="77">
        <v>21.42</v>
      </c>
      <c r="D24" s="79">
        <f t="shared" si="0"/>
        <v>-4.6468401486987861E-3</v>
      </c>
      <c r="F24" s="76">
        <v>43131</v>
      </c>
      <c r="G24" s="78">
        <v>34.909999999999997</v>
      </c>
      <c r="H24" s="79">
        <f t="shared" si="1"/>
        <v>8.6006304873662573E-4</v>
      </c>
    </row>
    <row r="25" spans="2:8">
      <c r="B25" s="76">
        <v>43132</v>
      </c>
      <c r="C25" s="77">
        <v>21.9</v>
      </c>
      <c r="D25" s="79">
        <f t="shared" si="0"/>
        <v>2.2408963585434025E-2</v>
      </c>
      <c r="F25" s="76">
        <v>43132</v>
      </c>
      <c r="G25" s="78">
        <v>34.860000999999997</v>
      </c>
      <c r="H25" s="79">
        <f t="shared" si="1"/>
        <v>-1.432225723288447E-3</v>
      </c>
    </row>
    <row r="26" spans="2:8">
      <c r="B26" s="76">
        <v>43133</v>
      </c>
      <c r="C26" s="77">
        <v>20.82</v>
      </c>
      <c r="D26" s="79">
        <f t="shared" si="0"/>
        <v>-4.9315068493150607E-2</v>
      </c>
      <c r="F26" s="76">
        <v>43133</v>
      </c>
      <c r="G26" s="78">
        <v>34.119999</v>
      </c>
      <c r="H26" s="79">
        <f t="shared" si="1"/>
        <v>-2.1227824979121401E-2</v>
      </c>
    </row>
    <row r="27" spans="2:8">
      <c r="B27" s="76">
        <v>43136</v>
      </c>
      <c r="C27" s="77">
        <v>19.920000000000002</v>
      </c>
      <c r="D27" s="79">
        <f t="shared" si="0"/>
        <v>-4.3227665706051806E-2</v>
      </c>
      <c r="F27" s="76">
        <v>43136</v>
      </c>
      <c r="G27" s="78">
        <v>33.040000999999997</v>
      </c>
      <c r="H27" s="79">
        <f t="shared" si="1"/>
        <v>-3.1652931760050851E-2</v>
      </c>
    </row>
    <row r="28" spans="2:8">
      <c r="B28" s="76">
        <v>43137</v>
      </c>
      <c r="C28" s="77">
        <v>20.370000999999998</v>
      </c>
      <c r="D28" s="79">
        <f t="shared" si="0"/>
        <v>2.2590411646586182E-2</v>
      </c>
      <c r="F28" s="76">
        <v>43137</v>
      </c>
      <c r="G28" s="78">
        <v>33.340000000000003</v>
      </c>
      <c r="H28" s="79">
        <f t="shared" si="1"/>
        <v>9.0798726065415922E-3</v>
      </c>
    </row>
    <row r="29" spans="2:8">
      <c r="B29" s="76">
        <v>43138</v>
      </c>
      <c r="C29" s="77">
        <v>20.379999000000002</v>
      </c>
      <c r="D29" s="79">
        <f t="shared" si="0"/>
        <v>4.9081980899279591E-4</v>
      </c>
      <c r="F29" s="76">
        <v>43138</v>
      </c>
      <c r="G29" s="78">
        <v>33.150002000000001</v>
      </c>
      <c r="H29" s="79">
        <f t="shared" si="1"/>
        <v>-5.6988002399520924E-3</v>
      </c>
    </row>
    <row r="30" spans="2:8">
      <c r="B30" s="76">
        <v>43139</v>
      </c>
      <c r="C30" s="77">
        <v>19.73</v>
      </c>
      <c r="D30" s="79">
        <f t="shared" si="0"/>
        <v>-3.1893966236210367E-2</v>
      </c>
      <c r="F30" s="76">
        <v>43139</v>
      </c>
      <c r="G30" s="78">
        <v>31.98</v>
      </c>
      <c r="H30" s="79">
        <f t="shared" si="1"/>
        <v>-3.5294175849521825E-2</v>
      </c>
    </row>
    <row r="31" spans="2:8">
      <c r="B31" s="76">
        <v>43140</v>
      </c>
      <c r="C31" s="77">
        <v>19.799999</v>
      </c>
      <c r="D31" s="79">
        <f t="shared" si="0"/>
        <v>3.5478459199188676E-3</v>
      </c>
      <c r="F31" s="76">
        <v>43140</v>
      </c>
      <c r="G31" s="78">
        <v>32.380001</v>
      </c>
      <c r="H31" s="79">
        <f t="shared" si="1"/>
        <v>1.2507848655409619E-2</v>
      </c>
    </row>
    <row r="32" spans="2:8">
      <c r="B32" s="76">
        <v>43143</v>
      </c>
      <c r="C32" s="77">
        <v>19.530000999999999</v>
      </c>
      <c r="D32" s="79">
        <f t="shared" si="0"/>
        <v>-1.3636263314962848E-2</v>
      </c>
      <c r="F32" s="76">
        <v>43143</v>
      </c>
      <c r="G32" s="78">
        <v>32.860000999999997</v>
      </c>
      <c r="H32" s="79">
        <f t="shared" si="1"/>
        <v>1.4823964952934896E-2</v>
      </c>
    </row>
    <row r="33" spans="2:8">
      <c r="B33" s="76">
        <v>43144</v>
      </c>
      <c r="C33" s="77">
        <v>19.48</v>
      </c>
      <c r="D33" s="79">
        <f t="shared" si="0"/>
        <v>-2.5602149226719544E-3</v>
      </c>
      <c r="F33" s="76">
        <v>43144</v>
      </c>
      <c r="G33" s="78">
        <v>32.939999</v>
      </c>
      <c r="H33" s="79">
        <f t="shared" si="1"/>
        <v>2.4345099685177535E-3</v>
      </c>
    </row>
    <row r="34" spans="2:8">
      <c r="B34" s="76">
        <v>43145</v>
      </c>
      <c r="C34" s="77">
        <v>19.82</v>
      </c>
      <c r="D34" s="79">
        <f t="shared" si="0"/>
        <v>1.7453798767967137E-2</v>
      </c>
      <c r="F34" s="76">
        <v>43145</v>
      </c>
      <c r="G34" s="78">
        <v>33.400002000000001</v>
      </c>
      <c r="H34" s="79">
        <f t="shared" si="1"/>
        <v>1.3964875955217861E-2</v>
      </c>
    </row>
    <row r="35" spans="2:8">
      <c r="B35" s="76">
        <v>43146</v>
      </c>
      <c r="C35" s="77">
        <v>19.879999000000002</v>
      </c>
      <c r="D35" s="79">
        <f t="shared" si="0"/>
        <v>3.0271947527750376E-3</v>
      </c>
      <c r="F35" s="76">
        <v>43146</v>
      </c>
      <c r="G35" s="78">
        <v>33.82</v>
      </c>
      <c r="H35" s="79">
        <f t="shared" si="1"/>
        <v>1.2574789666180249E-2</v>
      </c>
    </row>
    <row r="36" spans="2:8">
      <c r="B36" s="76">
        <v>43147</v>
      </c>
      <c r="C36" s="77">
        <v>20.549999</v>
      </c>
      <c r="D36" s="79">
        <f t="shared" si="0"/>
        <v>3.3702214974960419E-2</v>
      </c>
      <c r="F36" s="76">
        <v>43147</v>
      </c>
      <c r="G36" s="78">
        <v>33.849997999999999</v>
      </c>
      <c r="H36" s="79">
        <f t="shared" si="1"/>
        <v>8.8698994677702779E-4</v>
      </c>
    </row>
    <row r="37" spans="2:8">
      <c r="B37" s="76">
        <v>43151</v>
      </c>
      <c r="C37" s="77">
        <v>20.389999</v>
      </c>
      <c r="D37" s="79">
        <f t="shared" si="0"/>
        <v>-7.7858884567342385E-3</v>
      </c>
      <c r="F37" s="76">
        <v>43151</v>
      </c>
      <c r="G37" s="78">
        <v>33.650002000000001</v>
      </c>
      <c r="H37" s="79">
        <f t="shared" si="1"/>
        <v>-5.9083016784815976E-3</v>
      </c>
    </row>
    <row r="38" spans="2:8">
      <c r="B38" s="76">
        <v>43152</v>
      </c>
      <c r="C38" s="77">
        <v>20.350000000000001</v>
      </c>
      <c r="D38" s="79">
        <f t="shared" si="0"/>
        <v>-1.9616970064588097E-3</v>
      </c>
      <c r="F38" s="76">
        <v>43152</v>
      </c>
      <c r="G38" s="78">
        <v>33.470001000000003</v>
      </c>
      <c r="H38" s="79">
        <f t="shared" si="1"/>
        <v>-5.3492121634939925E-3</v>
      </c>
    </row>
    <row r="39" spans="2:8">
      <c r="B39" s="76">
        <v>43153</v>
      </c>
      <c r="C39" s="77">
        <v>20.23</v>
      </c>
      <c r="D39" s="79">
        <f t="shared" si="0"/>
        <v>-5.8968058968059452E-3</v>
      </c>
      <c r="F39" s="76">
        <v>43153</v>
      </c>
      <c r="G39" s="78">
        <v>33.479999999999997</v>
      </c>
      <c r="H39" s="79">
        <f t="shared" si="1"/>
        <v>2.9874513597993109E-4</v>
      </c>
    </row>
    <row r="40" spans="2:8">
      <c r="B40" s="76">
        <v>43154</v>
      </c>
      <c r="C40" s="77">
        <v>20.77</v>
      </c>
      <c r="D40" s="79">
        <f t="shared" si="0"/>
        <v>2.6693030153237724E-2</v>
      </c>
      <c r="F40" s="76">
        <v>43154</v>
      </c>
      <c r="G40" s="78">
        <v>34.020000000000003</v>
      </c>
      <c r="H40" s="79">
        <f t="shared" si="1"/>
        <v>1.6129032258064703E-2</v>
      </c>
    </row>
    <row r="41" spans="2:8">
      <c r="B41" s="76">
        <v>43157</v>
      </c>
      <c r="C41" s="77">
        <v>20.51</v>
      </c>
      <c r="D41" s="79">
        <f t="shared" si="0"/>
        <v>-1.2518054886855947E-2</v>
      </c>
      <c r="F41" s="76">
        <v>43157</v>
      </c>
      <c r="G41" s="78">
        <v>34.360000999999997</v>
      </c>
      <c r="H41" s="79">
        <f t="shared" si="1"/>
        <v>9.9941504997058707E-3</v>
      </c>
    </row>
    <row r="42" spans="2:8">
      <c r="B42" s="76">
        <v>43158</v>
      </c>
      <c r="C42" s="77">
        <v>19.649999999999999</v>
      </c>
      <c r="D42" s="79">
        <f t="shared" si="0"/>
        <v>-4.1930765480253679E-2</v>
      </c>
      <c r="F42" s="76">
        <v>43158</v>
      </c>
      <c r="G42" s="78">
        <v>33.970001000000003</v>
      </c>
      <c r="H42" s="79">
        <f t="shared" si="1"/>
        <v>-1.1350407120185866E-2</v>
      </c>
    </row>
    <row r="43" spans="2:8">
      <c r="B43" s="76">
        <v>43159</v>
      </c>
      <c r="C43" s="77">
        <v>19.18</v>
      </c>
      <c r="D43" s="79">
        <f t="shared" si="0"/>
        <v>-2.3918575063613175E-2</v>
      </c>
      <c r="F43" s="76">
        <v>43159</v>
      </c>
      <c r="G43" s="78">
        <v>33.560001</v>
      </c>
      <c r="H43" s="79">
        <f t="shared" si="1"/>
        <v>-1.2069472709170767E-2</v>
      </c>
    </row>
    <row r="44" spans="2:8">
      <c r="B44" s="76">
        <v>43160</v>
      </c>
      <c r="C44" s="77">
        <v>21.190000999999999</v>
      </c>
      <c r="D44" s="79">
        <f t="shared" si="0"/>
        <v>0.1047967153284671</v>
      </c>
      <c r="F44" s="76">
        <v>43160</v>
      </c>
      <c r="G44" s="78">
        <v>33.18</v>
      </c>
      <c r="H44" s="79">
        <f t="shared" si="1"/>
        <v>-1.1323033035666478E-2</v>
      </c>
    </row>
    <row r="45" spans="2:8">
      <c r="B45" s="76">
        <v>43161</v>
      </c>
      <c r="C45" s="77">
        <v>21.43</v>
      </c>
      <c r="D45" s="79">
        <f t="shared" si="0"/>
        <v>1.1326049489096343E-2</v>
      </c>
      <c r="F45" s="76">
        <v>43161</v>
      </c>
      <c r="G45" s="78">
        <v>33.409999999999997</v>
      </c>
      <c r="H45" s="79">
        <f t="shared" si="1"/>
        <v>6.9318866787220273E-3</v>
      </c>
    </row>
    <row r="46" spans="2:8">
      <c r="B46" s="76">
        <v>43164</v>
      </c>
      <c r="C46" s="77">
        <v>21.07</v>
      </c>
      <c r="D46" s="79">
        <f t="shared" si="0"/>
        <v>-1.6798880074661664E-2</v>
      </c>
      <c r="F46" s="76">
        <v>43164</v>
      </c>
      <c r="G46" s="78">
        <v>33.759998000000003</v>
      </c>
      <c r="H46" s="79">
        <f t="shared" si="1"/>
        <v>1.0475845555223183E-2</v>
      </c>
    </row>
    <row r="47" spans="2:8">
      <c r="B47" s="76">
        <v>43165</v>
      </c>
      <c r="C47" s="77">
        <v>21.48</v>
      </c>
      <c r="D47" s="79">
        <f t="shared" si="0"/>
        <v>1.9458946369245379E-2</v>
      </c>
      <c r="F47" s="76">
        <v>43165</v>
      </c>
      <c r="G47" s="78">
        <v>33.889999000000003</v>
      </c>
      <c r="H47" s="79">
        <f t="shared" si="1"/>
        <v>3.8507407494514667E-3</v>
      </c>
    </row>
    <row r="48" spans="2:8">
      <c r="B48" s="76">
        <v>43166</v>
      </c>
      <c r="C48" s="77">
        <v>21.610001</v>
      </c>
      <c r="D48" s="79">
        <f t="shared" si="0"/>
        <v>6.0521880819366866E-3</v>
      </c>
      <c r="F48" s="76">
        <v>43166</v>
      </c>
      <c r="G48" s="78">
        <v>33.909999999999997</v>
      </c>
      <c r="H48" s="79">
        <f t="shared" si="1"/>
        <v>5.9017411006691072E-4</v>
      </c>
    </row>
    <row r="49" spans="2:8">
      <c r="B49" s="76">
        <v>43167</v>
      </c>
      <c r="C49" s="77">
        <v>21.17</v>
      </c>
      <c r="D49" s="79">
        <f t="shared" si="0"/>
        <v>-2.0360989340074475E-2</v>
      </c>
      <c r="F49" s="76">
        <v>43167</v>
      </c>
      <c r="G49" s="78">
        <v>34.020000000000003</v>
      </c>
      <c r="H49" s="79">
        <f t="shared" si="1"/>
        <v>3.2438808611031126E-3</v>
      </c>
    </row>
    <row r="50" spans="2:8">
      <c r="B50" s="76">
        <v>43168</v>
      </c>
      <c r="C50" s="77">
        <v>21.57</v>
      </c>
      <c r="D50" s="79">
        <f t="shared" si="0"/>
        <v>1.889466225791207E-2</v>
      </c>
      <c r="F50" s="76">
        <v>43168</v>
      </c>
      <c r="G50" s="78">
        <v>34.599997999999999</v>
      </c>
      <c r="H50" s="79">
        <f t="shared" si="1"/>
        <v>1.7048736037624815E-2</v>
      </c>
    </row>
    <row r="51" spans="2:8">
      <c r="B51" s="76">
        <v>43171</v>
      </c>
      <c r="C51" s="77">
        <v>21.639999</v>
      </c>
      <c r="D51" s="79">
        <f t="shared" si="0"/>
        <v>3.2452016689846663E-3</v>
      </c>
      <c r="F51" s="76">
        <v>43171</v>
      </c>
      <c r="G51" s="78">
        <v>34.590000000000003</v>
      </c>
      <c r="H51" s="79">
        <f t="shared" si="1"/>
        <v>-2.8895955427500186E-4</v>
      </c>
    </row>
    <row r="52" spans="2:8">
      <c r="B52" s="76">
        <v>43172</v>
      </c>
      <c r="C52" s="77">
        <v>21.9</v>
      </c>
      <c r="D52" s="79">
        <f t="shared" si="0"/>
        <v>1.2014834196618911E-2</v>
      </c>
      <c r="F52" s="76">
        <v>43172</v>
      </c>
      <c r="G52" s="78">
        <v>34.380001</v>
      </c>
      <c r="H52" s="79">
        <f t="shared" si="1"/>
        <v>-6.0710899103788192E-3</v>
      </c>
    </row>
    <row r="53" spans="2:8">
      <c r="B53" s="76">
        <v>43173</v>
      </c>
      <c r="C53" s="77">
        <v>21.780000999999999</v>
      </c>
      <c r="D53" s="79">
        <f t="shared" si="0"/>
        <v>-5.4794063926940631E-3</v>
      </c>
      <c r="F53" s="76">
        <v>43173</v>
      </c>
      <c r="G53" s="78">
        <v>34.18</v>
      </c>
      <c r="H53" s="79">
        <f t="shared" si="1"/>
        <v>-5.8173645777380963E-3</v>
      </c>
    </row>
    <row r="54" spans="2:8">
      <c r="B54" s="76">
        <v>43174</v>
      </c>
      <c r="C54" s="77">
        <v>21.040001</v>
      </c>
      <c r="D54" s="79">
        <f t="shared" si="0"/>
        <v>-3.3976123325246792E-2</v>
      </c>
      <c r="F54" s="76">
        <v>43174</v>
      </c>
      <c r="G54" s="78">
        <v>34.110000999999997</v>
      </c>
      <c r="H54" s="79">
        <f t="shared" si="1"/>
        <v>-2.0479520187244825E-3</v>
      </c>
    </row>
    <row r="55" spans="2:8">
      <c r="B55" s="76">
        <v>43175</v>
      </c>
      <c r="C55" s="77">
        <v>20.799999</v>
      </c>
      <c r="D55" s="79">
        <f t="shared" si="0"/>
        <v>-1.1406938621343244E-2</v>
      </c>
      <c r="F55" s="76">
        <v>43175</v>
      </c>
      <c r="G55" s="78">
        <v>34.090000000000003</v>
      </c>
      <c r="H55" s="79">
        <f t="shared" si="1"/>
        <v>-5.863676169342093E-4</v>
      </c>
    </row>
    <row r="56" spans="2:8">
      <c r="B56" s="76">
        <v>43178</v>
      </c>
      <c r="C56" s="77">
        <v>20.73</v>
      </c>
      <c r="D56" s="79">
        <f t="shared" si="0"/>
        <v>-3.3653367002565364E-3</v>
      </c>
      <c r="F56" s="76">
        <v>43178</v>
      </c>
      <c r="G56" s="78">
        <v>33.630001</v>
      </c>
      <c r="H56" s="79">
        <f t="shared" si="1"/>
        <v>-1.3493663831035592E-2</v>
      </c>
    </row>
    <row r="57" spans="2:8">
      <c r="B57" s="76">
        <v>43179</v>
      </c>
      <c r="C57" s="77">
        <v>20.65</v>
      </c>
      <c r="D57" s="79">
        <f t="shared" si="0"/>
        <v>-3.8591413410517051E-3</v>
      </c>
      <c r="F57" s="76">
        <v>43179</v>
      </c>
      <c r="G57" s="78">
        <v>33.650002000000001</v>
      </c>
      <c r="H57" s="79">
        <f t="shared" si="1"/>
        <v>5.9473682442057023E-4</v>
      </c>
    </row>
    <row r="58" spans="2:8">
      <c r="B58" s="76">
        <v>43180</v>
      </c>
      <c r="C58" s="77">
        <v>21.059999000000001</v>
      </c>
      <c r="D58" s="79">
        <f t="shared" si="0"/>
        <v>1.9854673123486814E-2</v>
      </c>
      <c r="F58" s="76">
        <v>43180</v>
      </c>
      <c r="G58" s="78">
        <v>33.669998</v>
      </c>
      <c r="H58" s="79">
        <f t="shared" si="1"/>
        <v>5.9423473436937728E-4</v>
      </c>
    </row>
    <row r="59" spans="2:8">
      <c r="B59" s="76">
        <v>43181</v>
      </c>
      <c r="C59" s="77">
        <v>20.329999999999998</v>
      </c>
      <c r="D59" s="79">
        <f t="shared" si="0"/>
        <v>-3.4662822158728637E-2</v>
      </c>
      <c r="F59" s="76">
        <v>43181</v>
      </c>
      <c r="G59" s="78">
        <v>32.849997999999999</v>
      </c>
      <c r="H59" s="79">
        <f t="shared" si="1"/>
        <v>-2.4354025800654943E-2</v>
      </c>
    </row>
    <row r="60" spans="2:8">
      <c r="B60" s="76">
        <v>43182</v>
      </c>
      <c r="C60" s="77">
        <v>19.879999000000002</v>
      </c>
      <c r="D60" s="79">
        <f t="shared" si="0"/>
        <v>-2.2134825381209876E-2</v>
      </c>
      <c r="F60" s="76">
        <v>43182</v>
      </c>
      <c r="G60" s="78">
        <v>32.18</v>
      </c>
      <c r="H60" s="79">
        <f t="shared" si="1"/>
        <v>-2.0395678562902794E-2</v>
      </c>
    </row>
    <row r="61" spans="2:8">
      <c r="B61" s="76">
        <v>43185</v>
      </c>
      <c r="C61" s="77">
        <v>20.149999999999999</v>
      </c>
      <c r="D61" s="79">
        <f t="shared" si="0"/>
        <v>1.3581539918588377E-2</v>
      </c>
      <c r="F61" s="76">
        <v>43185</v>
      </c>
      <c r="G61" s="78">
        <v>32.970001000000003</v>
      </c>
      <c r="H61" s="79">
        <f t="shared" si="1"/>
        <v>2.4549440646364318E-2</v>
      </c>
    </row>
    <row r="62" spans="2:8">
      <c r="B62" s="76">
        <v>43186</v>
      </c>
      <c r="C62" s="77">
        <v>19.66</v>
      </c>
      <c r="D62" s="79">
        <f t="shared" si="0"/>
        <v>-2.4317617866004886E-2</v>
      </c>
      <c r="F62" s="76">
        <v>43186</v>
      </c>
      <c r="G62" s="78">
        <v>32.459999000000003</v>
      </c>
      <c r="H62" s="79">
        <f t="shared" si="1"/>
        <v>-1.5468668017328845E-2</v>
      </c>
    </row>
    <row r="63" spans="2:8">
      <c r="B63" s="76">
        <v>43187</v>
      </c>
      <c r="C63" s="77">
        <v>19.610001</v>
      </c>
      <c r="D63" s="79">
        <f t="shared" si="0"/>
        <v>-2.5431841302136155E-3</v>
      </c>
      <c r="F63" s="76">
        <v>43187</v>
      </c>
      <c r="G63" s="78">
        <v>32.360000999999997</v>
      </c>
      <c r="H63" s="79">
        <f t="shared" si="1"/>
        <v>-3.0806532064282092E-3</v>
      </c>
    </row>
    <row r="64" spans="2:8">
      <c r="B64" s="76">
        <v>43188</v>
      </c>
      <c r="C64" s="77">
        <v>19.84</v>
      </c>
      <c r="D64" s="79">
        <f t="shared" si="0"/>
        <v>1.1728658249430961E-2</v>
      </c>
      <c r="F64" s="76">
        <v>43188</v>
      </c>
      <c r="G64" s="78">
        <v>32.82</v>
      </c>
      <c r="H64" s="79">
        <f t="shared" si="1"/>
        <v>1.4215049004479431E-2</v>
      </c>
    </row>
    <row r="65" spans="2:8">
      <c r="B65" s="76">
        <v>43192</v>
      </c>
      <c r="C65" s="77">
        <v>18.75</v>
      </c>
      <c r="D65" s="79">
        <f t="shared" si="0"/>
        <v>-5.4939516129032251E-2</v>
      </c>
      <c r="F65" s="76">
        <v>43192</v>
      </c>
      <c r="G65" s="78">
        <v>32.090000000000003</v>
      </c>
      <c r="H65" s="79">
        <f t="shared" si="1"/>
        <v>-2.2242535039609899E-2</v>
      </c>
    </row>
    <row r="66" spans="2:8">
      <c r="B66" s="76">
        <v>43193</v>
      </c>
      <c r="C66" s="77">
        <v>18.93</v>
      </c>
      <c r="D66" s="79">
        <f t="shared" si="0"/>
        <v>9.5999999999999853E-3</v>
      </c>
      <c r="F66" s="76">
        <v>43193</v>
      </c>
      <c r="G66" s="78">
        <v>32.479999999999997</v>
      </c>
      <c r="H66" s="79">
        <f t="shared" si="1"/>
        <v>1.2153318790900387E-2</v>
      </c>
    </row>
    <row r="67" spans="2:8">
      <c r="B67" s="76">
        <v>43194</v>
      </c>
      <c r="C67" s="77">
        <v>19.579999999999998</v>
      </c>
      <c r="D67" s="79">
        <f t="shared" si="0"/>
        <v>3.4337031167458988E-2</v>
      </c>
      <c r="F67" s="76">
        <v>43194</v>
      </c>
      <c r="G67" s="78">
        <v>32.840000000000003</v>
      </c>
      <c r="H67" s="79">
        <f t="shared" si="1"/>
        <v>1.1083743842364734E-2</v>
      </c>
    </row>
    <row r="68" spans="2:8">
      <c r="B68" s="76">
        <v>43195</v>
      </c>
      <c r="C68" s="77">
        <v>19.870000999999998</v>
      </c>
      <c r="D68" s="79">
        <f t="shared" si="0"/>
        <v>1.4811082737487243E-2</v>
      </c>
      <c r="F68" s="76">
        <v>43195</v>
      </c>
      <c r="G68" s="78">
        <v>33.090000000000003</v>
      </c>
      <c r="H68" s="79">
        <f t="shared" si="1"/>
        <v>7.6126674786845304E-3</v>
      </c>
    </row>
    <row r="69" spans="2:8">
      <c r="B69" s="76">
        <v>43196</v>
      </c>
      <c r="C69" s="77">
        <v>19.700001</v>
      </c>
      <c r="D69" s="79">
        <f t="shared" si="0"/>
        <v>-8.5556110440053908E-3</v>
      </c>
      <c r="F69" s="76">
        <v>43196</v>
      </c>
      <c r="G69" s="78">
        <v>32.389999000000003</v>
      </c>
      <c r="H69" s="79">
        <f t="shared" si="1"/>
        <v>-2.1154457540042318E-2</v>
      </c>
    </row>
    <row r="70" spans="2:8">
      <c r="B70" s="76">
        <v>43199</v>
      </c>
      <c r="C70" s="77">
        <v>19.059999000000001</v>
      </c>
      <c r="D70" s="79">
        <f t="shared" ref="D70:D133" si="2">(C70-C69)/C69</f>
        <v>-3.2487409518405563E-2</v>
      </c>
      <c r="F70" s="76">
        <v>43199</v>
      </c>
      <c r="G70" s="78">
        <v>32.529998999999997</v>
      </c>
      <c r="H70" s="79">
        <f t="shared" ref="H70:H133" si="3">(G70-G69)/G69</f>
        <v>4.3223218376756802E-3</v>
      </c>
    </row>
    <row r="71" spans="2:8">
      <c r="B71" s="76">
        <v>43200</v>
      </c>
      <c r="C71" s="77">
        <v>19.32</v>
      </c>
      <c r="D71" s="79">
        <f t="shared" si="2"/>
        <v>1.3641186444973004E-2</v>
      </c>
      <c r="F71" s="76">
        <v>43200</v>
      </c>
      <c r="G71" s="78">
        <v>33.040000999999997</v>
      </c>
      <c r="H71" s="79">
        <f t="shared" si="3"/>
        <v>1.5677897807497631E-2</v>
      </c>
    </row>
    <row r="72" spans="2:8">
      <c r="B72" s="76">
        <v>43201</v>
      </c>
      <c r="C72" s="77">
        <v>19.209999</v>
      </c>
      <c r="D72" s="79">
        <f t="shared" si="2"/>
        <v>-5.6936335403726945E-3</v>
      </c>
      <c r="F72" s="76">
        <v>43201</v>
      </c>
      <c r="G72" s="78">
        <v>32.869999</v>
      </c>
      <c r="H72" s="79">
        <f t="shared" si="3"/>
        <v>-5.1453388273201527E-3</v>
      </c>
    </row>
    <row r="73" spans="2:8">
      <c r="B73" s="76">
        <v>43202</v>
      </c>
      <c r="C73" s="77">
        <v>19.23</v>
      </c>
      <c r="D73" s="79">
        <f t="shared" si="2"/>
        <v>1.0411765247879815E-3</v>
      </c>
      <c r="F73" s="76">
        <v>43202</v>
      </c>
      <c r="G73" s="78">
        <v>33.159999999999997</v>
      </c>
      <c r="H73" s="79">
        <f t="shared" si="3"/>
        <v>8.8226653125239411E-3</v>
      </c>
    </row>
    <row r="74" spans="2:8">
      <c r="B74" s="76">
        <v>43203</v>
      </c>
      <c r="C74" s="77">
        <v>19.200001</v>
      </c>
      <c r="D74" s="79">
        <f t="shared" si="2"/>
        <v>-1.5600104004160223E-3</v>
      </c>
      <c r="F74" s="76">
        <v>43203</v>
      </c>
      <c r="G74" s="78">
        <v>33.029998999999997</v>
      </c>
      <c r="H74" s="79">
        <f t="shared" si="3"/>
        <v>-3.920416164053077E-3</v>
      </c>
    </row>
    <row r="75" spans="2:8">
      <c r="B75" s="76">
        <v>43206</v>
      </c>
      <c r="C75" s="77">
        <v>19.629999000000002</v>
      </c>
      <c r="D75" s="79">
        <f t="shared" si="2"/>
        <v>2.2395728000222562E-2</v>
      </c>
      <c r="F75" s="76">
        <v>43206</v>
      </c>
      <c r="G75" s="78">
        <v>33.32</v>
      </c>
      <c r="H75" s="79">
        <f t="shared" si="3"/>
        <v>8.7799276045997989E-3</v>
      </c>
    </row>
    <row r="76" spans="2:8">
      <c r="B76" s="76">
        <v>43207</v>
      </c>
      <c r="C76" s="77">
        <v>19.780000999999999</v>
      </c>
      <c r="D76" s="79">
        <f t="shared" si="2"/>
        <v>7.6414675314042078E-3</v>
      </c>
      <c r="F76" s="76">
        <v>43207</v>
      </c>
      <c r="G76" s="78">
        <v>33.659999999999997</v>
      </c>
      <c r="H76" s="79">
        <f t="shared" si="3"/>
        <v>1.0204081632652949E-2</v>
      </c>
    </row>
    <row r="77" spans="2:8">
      <c r="B77" s="76">
        <v>43208</v>
      </c>
      <c r="C77" s="77">
        <v>19.709999</v>
      </c>
      <c r="D77" s="79">
        <f t="shared" si="2"/>
        <v>-3.5390291436283947E-3</v>
      </c>
      <c r="F77" s="76">
        <v>43208</v>
      </c>
      <c r="G77" s="78">
        <v>33.709999000000003</v>
      </c>
      <c r="H77" s="79">
        <f t="shared" si="3"/>
        <v>1.4854129530602136E-3</v>
      </c>
    </row>
    <row r="78" spans="2:8">
      <c r="B78" s="76">
        <v>43209</v>
      </c>
      <c r="C78" s="77">
        <v>19.149999999999999</v>
      </c>
      <c r="D78" s="79">
        <f t="shared" si="2"/>
        <v>-2.8411924323283894E-2</v>
      </c>
      <c r="F78" s="76">
        <v>43209</v>
      </c>
      <c r="G78" s="78">
        <v>33.509998000000003</v>
      </c>
      <c r="H78" s="79">
        <f t="shared" si="3"/>
        <v>-5.9329874201420269E-3</v>
      </c>
    </row>
    <row r="79" spans="2:8">
      <c r="B79" s="76">
        <v>43210</v>
      </c>
      <c r="C79" s="77">
        <v>18.739999999999998</v>
      </c>
      <c r="D79" s="79">
        <f t="shared" si="2"/>
        <v>-2.1409921671018285E-2</v>
      </c>
      <c r="F79" s="76">
        <v>43210</v>
      </c>
      <c r="G79" s="78">
        <v>33.229999999999997</v>
      </c>
      <c r="H79" s="79">
        <f t="shared" si="3"/>
        <v>-8.3556555270461724E-3</v>
      </c>
    </row>
    <row r="80" spans="2:8">
      <c r="B80" s="76">
        <v>43213</v>
      </c>
      <c r="C80" s="77">
        <v>18.459999</v>
      </c>
      <c r="D80" s="79">
        <f t="shared" si="2"/>
        <v>-1.4941355389541016E-2</v>
      </c>
      <c r="F80" s="76">
        <v>43213</v>
      </c>
      <c r="G80" s="78">
        <v>33.229999999999997</v>
      </c>
      <c r="H80" s="79">
        <f t="shared" si="3"/>
        <v>0</v>
      </c>
    </row>
    <row r="81" spans="2:8">
      <c r="B81" s="76">
        <v>43214</v>
      </c>
      <c r="C81" s="77">
        <v>18.120000999999998</v>
      </c>
      <c r="D81" s="79">
        <f t="shared" si="2"/>
        <v>-1.8418094172161188E-2</v>
      </c>
      <c r="F81" s="76">
        <v>43214</v>
      </c>
      <c r="G81" s="78">
        <v>32.849997999999999</v>
      </c>
      <c r="H81" s="79">
        <f t="shared" si="3"/>
        <v>-1.1435510081251807E-2</v>
      </c>
    </row>
    <row r="82" spans="2:8">
      <c r="B82" s="76">
        <v>43215</v>
      </c>
      <c r="C82" s="77">
        <v>18.079999999999998</v>
      </c>
      <c r="D82" s="79">
        <f t="shared" si="2"/>
        <v>-2.2075605845717217E-3</v>
      </c>
      <c r="F82" s="76">
        <v>43215</v>
      </c>
      <c r="G82" s="78">
        <v>32.869999</v>
      </c>
      <c r="H82" s="79">
        <f t="shared" si="3"/>
        <v>6.0885848455761256E-4</v>
      </c>
    </row>
    <row r="83" spans="2:8">
      <c r="B83" s="76">
        <v>43216</v>
      </c>
      <c r="C83" s="77">
        <v>18.34</v>
      </c>
      <c r="D83" s="79">
        <f t="shared" si="2"/>
        <v>1.4380530973451416E-2</v>
      </c>
      <c r="F83" s="76">
        <v>43216</v>
      </c>
      <c r="G83" s="78">
        <v>33.229999999999997</v>
      </c>
      <c r="H83" s="79">
        <f t="shared" si="3"/>
        <v>1.0952266837610702E-2</v>
      </c>
    </row>
    <row r="84" spans="2:8">
      <c r="B84" s="76">
        <v>43217</v>
      </c>
      <c r="C84" s="77">
        <v>18.25</v>
      </c>
      <c r="D84" s="79">
        <f t="shared" si="2"/>
        <v>-4.9073064340239836E-3</v>
      </c>
      <c r="F84" s="76">
        <v>43217</v>
      </c>
      <c r="G84" s="78">
        <v>33.220001000000003</v>
      </c>
      <c r="H84" s="79">
        <f t="shared" si="3"/>
        <v>-3.009027986756976E-4</v>
      </c>
    </row>
    <row r="85" spans="2:8">
      <c r="B85" s="76">
        <v>43220</v>
      </c>
      <c r="C85" s="77">
        <v>18.23</v>
      </c>
      <c r="D85" s="79">
        <f t="shared" si="2"/>
        <v>-1.0958904109588808E-3</v>
      </c>
      <c r="F85" s="76">
        <v>43220</v>
      </c>
      <c r="G85" s="78">
        <v>33</v>
      </c>
      <c r="H85" s="79">
        <f t="shared" si="3"/>
        <v>-6.6225464592852791E-3</v>
      </c>
    </row>
    <row r="86" spans="2:8">
      <c r="B86" s="76">
        <v>43221</v>
      </c>
      <c r="C86" s="77">
        <v>18.799999</v>
      </c>
      <c r="D86" s="79">
        <f t="shared" si="2"/>
        <v>3.1267087218869956E-2</v>
      </c>
      <c r="F86" s="76">
        <v>43221</v>
      </c>
      <c r="G86" s="78">
        <v>33.049999</v>
      </c>
      <c r="H86" s="79">
        <f t="shared" si="3"/>
        <v>1.5151212121212025E-3</v>
      </c>
    </row>
    <row r="87" spans="2:8">
      <c r="B87" s="76">
        <v>43222</v>
      </c>
      <c r="C87" s="77">
        <v>18.59</v>
      </c>
      <c r="D87" s="79">
        <f t="shared" si="2"/>
        <v>-1.1170160168625532E-2</v>
      </c>
      <c r="F87" s="76">
        <v>43222</v>
      </c>
      <c r="G87" s="78">
        <v>32.849997999999999</v>
      </c>
      <c r="H87" s="79">
        <f t="shared" si="3"/>
        <v>-6.0514676566253544E-3</v>
      </c>
    </row>
    <row r="88" spans="2:8">
      <c r="B88" s="76">
        <v>43223</v>
      </c>
      <c r="C88" s="77">
        <v>18.57</v>
      </c>
      <c r="D88" s="79">
        <f t="shared" si="2"/>
        <v>-1.0758472296933607E-3</v>
      </c>
      <c r="F88" s="76">
        <v>43223</v>
      </c>
      <c r="G88" s="78">
        <v>32.799999</v>
      </c>
      <c r="H88" s="79">
        <f t="shared" si="3"/>
        <v>-1.5220396664864235E-3</v>
      </c>
    </row>
    <row r="89" spans="2:8">
      <c r="B89" s="76">
        <v>43224</v>
      </c>
      <c r="C89" s="77">
        <v>18.579999999999998</v>
      </c>
      <c r="D89" s="79">
        <f t="shared" si="2"/>
        <v>5.3850296176618259E-4</v>
      </c>
      <c r="F89" s="76">
        <v>43224</v>
      </c>
      <c r="G89" s="78">
        <v>33.18</v>
      </c>
      <c r="H89" s="79">
        <f t="shared" si="3"/>
        <v>1.1585396694676729E-2</v>
      </c>
    </row>
    <row r="90" spans="2:8">
      <c r="B90" s="76">
        <v>43227</v>
      </c>
      <c r="C90" s="77">
        <v>18.870000999999998</v>
      </c>
      <c r="D90" s="79">
        <f t="shared" si="2"/>
        <v>1.5608234660925738E-2</v>
      </c>
      <c r="F90" s="76">
        <v>43227</v>
      </c>
      <c r="G90" s="78">
        <v>33.32</v>
      </c>
      <c r="H90" s="79">
        <f t="shared" si="3"/>
        <v>4.2194092827004389E-3</v>
      </c>
    </row>
    <row r="91" spans="2:8">
      <c r="B91" s="76">
        <v>43228</v>
      </c>
      <c r="C91" s="77">
        <v>19.719999000000001</v>
      </c>
      <c r="D91" s="79">
        <f t="shared" si="2"/>
        <v>4.504493666958486E-2</v>
      </c>
      <c r="F91" s="76">
        <v>43228</v>
      </c>
      <c r="G91" s="78">
        <v>33.349997999999999</v>
      </c>
      <c r="H91" s="79">
        <f t="shared" si="3"/>
        <v>9.0030012004799166E-4</v>
      </c>
    </row>
    <row r="92" spans="2:8">
      <c r="B92" s="76">
        <v>43229</v>
      </c>
      <c r="C92" s="77">
        <v>19.75</v>
      </c>
      <c r="D92" s="79">
        <f t="shared" si="2"/>
        <v>1.5213489615287816E-3</v>
      </c>
      <c r="F92" s="76">
        <v>43229</v>
      </c>
      <c r="G92" s="78">
        <v>33.650002000000001</v>
      </c>
      <c r="H92" s="79">
        <f t="shared" si="3"/>
        <v>8.9956227283732159E-3</v>
      </c>
    </row>
    <row r="93" spans="2:8">
      <c r="B93" s="76">
        <v>43230</v>
      </c>
      <c r="C93" s="77">
        <v>19.110001</v>
      </c>
      <c r="D93" s="79">
        <f t="shared" si="2"/>
        <v>-3.2405012658227823E-2</v>
      </c>
      <c r="F93" s="76">
        <v>43230</v>
      </c>
      <c r="G93" s="78">
        <v>33.959999000000003</v>
      </c>
      <c r="H93" s="79">
        <f t="shared" si="3"/>
        <v>9.2123917258608995E-3</v>
      </c>
    </row>
    <row r="94" spans="2:8">
      <c r="B94" s="76">
        <v>43231</v>
      </c>
      <c r="C94" s="77">
        <v>18.899999999999999</v>
      </c>
      <c r="D94" s="79">
        <f t="shared" si="2"/>
        <v>-1.0989062742592315E-2</v>
      </c>
      <c r="F94" s="76">
        <v>43231</v>
      </c>
      <c r="G94" s="78">
        <v>34.009998000000003</v>
      </c>
      <c r="H94" s="79">
        <f t="shared" si="3"/>
        <v>1.4722909738601488E-3</v>
      </c>
    </row>
    <row r="95" spans="2:8">
      <c r="B95" s="76">
        <v>43234</v>
      </c>
      <c r="C95" s="77">
        <v>18.57</v>
      </c>
      <c r="D95" s="79">
        <f t="shared" si="2"/>
        <v>-1.7460317460317371E-2</v>
      </c>
      <c r="F95" s="76">
        <v>43234</v>
      </c>
      <c r="G95" s="78">
        <v>34.040000999999997</v>
      </c>
      <c r="H95" s="79">
        <f t="shared" si="3"/>
        <v>8.8218176313899102E-4</v>
      </c>
    </row>
    <row r="96" spans="2:8">
      <c r="B96" s="76">
        <v>43235</v>
      </c>
      <c r="C96" s="77">
        <v>18.200001</v>
      </c>
      <c r="D96" s="79">
        <f t="shared" si="2"/>
        <v>-1.992455573505654E-2</v>
      </c>
      <c r="F96" s="76">
        <v>43235</v>
      </c>
      <c r="G96" s="78">
        <v>33.82</v>
      </c>
      <c r="H96" s="79">
        <f t="shared" si="3"/>
        <v>-6.463013911192199E-3</v>
      </c>
    </row>
    <row r="97" spans="2:8">
      <c r="B97" s="76">
        <v>43236</v>
      </c>
      <c r="C97" s="77">
        <v>18.969999000000001</v>
      </c>
      <c r="D97" s="79">
        <f t="shared" si="2"/>
        <v>4.2307580092990162E-2</v>
      </c>
      <c r="F97" s="76">
        <v>43236</v>
      </c>
      <c r="G97" s="78">
        <v>33.979999999999997</v>
      </c>
      <c r="H97" s="79">
        <f t="shared" si="3"/>
        <v>4.7309284447071727E-3</v>
      </c>
    </row>
    <row r="98" spans="2:8">
      <c r="B98" s="76">
        <v>43237</v>
      </c>
      <c r="C98" s="77">
        <v>19.010000000000002</v>
      </c>
      <c r="D98" s="79">
        <f t="shared" si="2"/>
        <v>2.1086453404662894E-3</v>
      </c>
      <c r="F98" s="76">
        <v>43237</v>
      </c>
      <c r="G98" s="78">
        <v>34</v>
      </c>
      <c r="H98" s="79">
        <f t="shared" si="3"/>
        <v>5.8858151854040985E-4</v>
      </c>
    </row>
    <row r="99" spans="2:8">
      <c r="B99" s="76">
        <v>43238</v>
      </c>
      <c r="C99" s="77">
        <v>19.790001</v>
      </c>
      <c r="D99" s="79">
        <f t="shared" si="2"/>
        <v>4.1031088900578563E-2</v>
      </c>
      <c r="F99" s="76">
        <v>43238</v>
      </c>
      <c r="G99" s="78">
        <v>33.939999</v>
      </c>
      <c r="H99" s="79">
        <f t="shared" si="3"/>
        <v>-1.7647352941176397E-3</v>
      </c>
    </row>
    <row r="100" spans="2:8">
      <c r="B100" s="76">
        <v>43241</v>
      </c>
      <c r="C100" s="77">
        <v>19.719999000000001</v>
      </c>
      <c r="D100" s="79">
        <f t="shared" si="2"/>
        <v>-3.5372408520847869E-3</v>
      </c>
      <c r="F100" s="76">
        <v>43241</v>
      </c>
      <c r="G100" s="78">
        <v>34.150002000000001</v>
      </c>
      <c r="H100" s="79">
        <f t="shared" si="3"/>
        <v>6.187478084486696E-3</v>
      </c>
    </row>
    <row r="101" spans="2:8">
      <c r="B101" s="76">
        <v>43242</v>
      </c>
      <c r="C101" s="77">
        <v>19.450001</v>
      </c>
      <c r="D101" s="79">
        <f t="shared" si="2"/>
        <v>-1.3691582844400805E-2</v>
      </c>
      <c r="F101" s="76">
        <v>43242</v>
      </c>
      <c r="G101" s="78">
        <v>34.07</v>
      </c>
      <c r="H101" s="79">
        <f t="shared" si="3"/>
        <v>-2.3426645772963747E-3</v>
      </c>
    </row>
    <row r="102" spans="2:8">
      <c r="B102" s="76">
        <v>43243</v>
      </c>
      <c r="C102" s="77">
        <v>19.41</v>
      </c>
      <c r="D102" s="79">
        <f t="shared" si="2"/>
        <v>-2.0566065780665086E-3</v>
      </c>
      <c r="F102" s="76">
        <v>43243</v>
      </c>
      <c r="G102" s="78">
        <v>34.169998</v>
      </c>
      <c r="H102" s="79">
        <f t="shared" si="3"/>
        <v>2.93507484590547E-3</v>
      </c>
    </row>
    <row r="103" spans="2:8">
      <c r="B103" s="76">
        <v>43244</v>
      </c>
      <c r="C103" s="77">
        <v>19.299999</v>
      </c>
      <c r="D103" s="79">
        <f t="shared" si="2"/>
        <v>-5.6672333848531925E-3</v>
      </c>
      <c r="F103" s="76">
        <v>43244</v>
      </c>
      <c r="G103" s="78">
        <v>34.119999</v>
      </c>
      <c r="H103" s="79">
        <f t="shared" si="3"/>
        <v>-1.4632426961218928E-3</v>
      </c>
    </row>
    <row r="104" spans="2:8">
      <c r="B104" s="76">
        <v>43245</v>
      </c>
      <c r="C104" s="77">
        <v>19.489999999999998</v>
      </c>
      <c r="D104" s="79">
        <f t="shared" si="2"/>
        <v>9.8446119090471844E-3</v>
      </c>
      <c r="F104" s="76">
        <v>43245</v>
      </c>
      <c r="G104" s="78">
        <v>34.049999</v>
      </c>
      <c r="H104" s="79">
        <f t="shared" si="3"/>
        <v>-2.0515827096009086E-3</v>
      </c>
    </row>
    <row r="105" spans="2:8">
      <c r="B105" s="76">
        <v>43249</v>
      </c>
      <c r="C105" s="77">
        <v>19.399999999999999</v>
      </c>
      <c r="D105" s="79">
        <f t="shared" si="2"/>
        <v>-4.6177526936890647E-3</v>
      </c>
      <c r="F105" s="76">
        <v>43249</v>
      </c>
      <c r="G105" s="78">
        <v>33.720001000000003</v>
      </c>
      <c r="H105" s="79">
        <f t="shared" si="3"/>
        <v>-9.6915715034234292E-3</v>
      </c>
    </row>
    <row r="106" spans="2:8">
      <c r="B106" s="76">
        <v>43250</v>
      </c>
      <c r="C106" s="77">
        <v>19.489999999999998</v>
      </c>
      <c r="D106" s="79">
        <f t="shared" si="2"/>
        <v>4.6391752577319518E-3</v>
      </c>
      <c r="F106" s="76">
        <v>43250</v>
      </c>
      <c r="G106" s="78">
        <v>34.169998</v>
      </c>
      <c r="H106" s="79">
        <f t="shared" si="3"/>
        <v>1.3345106365803374E-2</v>
      </c>
    </row>
    <row r="107" spans="2:8">
      <c r="B107" s="76">
        <v>43251</v>
      </c>
      <c r="C107" s="77">
        <v>19.579999999999998</v>
      </c>
      <c r="D107" s="79">
        <f t="shared" si="2"/>
        <v>4.6177526936890647E-3</v>
      </c>
      <c r="F107" s="76">
        <v>43251</v>
      </c>
      <c r="G107" s="78">
        <v>33.919998</v>
      </c>
      <c r="H107" s="79">
        <f t="shared" si="3"/>
        <v>-7.3163598078056667E-3</v>
      </c>
    </row>
    <row r="108" spans="2:8">
      <c r="B108" s="76">
        <v>43252</v>
      </c>
      <c r="C108" s="77">
        <v>19.059999000000001</v>
      </c>
      <c r="D108" s="79">
        <f t="shared" si="2"/>
        <v>-2.6557763023493212E-2</v>
      </c>
      <c r="F108" s="76">
        <v>43252</v>
      </c>
      <c r="G108" s="78">
        <v>34.270000000000003</v>
      </c>
      <c r="H108" s="79">
        <f t="shared" si="3"/>
        <v>1.0318455797078864E-2</v>
      </c>
    </row>
    <row r="109" spans="2:8">
      <c r="B109" s="76">
        <v>43255</v>
      </c>
      <c r="C109" s="77">
        <v>19.5</v>
      </c>
      <c r="D109" s="79">
        <f t="shared" si="2"/>
        <v>2.3085048430485162E-2</v>
      </c>
      <c r="F109" s="76">
        <v>43255</v>
      </c>
      <c r="G109" s="78">
        <v>34.439999</v>
      </c>
      <c r="H109" s="79">
        <f t="shared" si="3"/>
        <v>4.9605777648087865E-3</v>
      </c>
    </row>
    <row r="110" spans="2:8">
      <c r="B110" s="76">
        <v>43256</v>
      </c>
      <c r="C110" s="77">
        <v>19.52</v>
      </c>
      <c r="D110" s="79">
        <f t="shared" si="2"/>
        <v>1.0256410256410037E-3</v>
      </c>
      <c r="F110" s="76">
        <v>43256</v>
      </c>
      <c r="G110" s="78">
        <v>34.490001999999997</v>
      </c>
      <c r="H110" s="79">
        <f t="shared" si="3"/>
        <v>1.4518873824588871E-3</v>
      </c>
    </row>
    <row r="111" spans="2:8">
      <c r="B111" s="76">
        <v>43257</v>
      </c>
      <c r="C111" s="77">
        <v>19.5</v>
      </c>
      <c r="D111" s="79">
        <f t="shared" si="2"/>
        <v>-1.0245901639344044E-3</v>
      </c>
      <c r="F111" s="76">
        <v>43257</v>
      </c>
      <c r="G111" s="78">
        <v>34.709999000000003</v>
      </c>
      <c r="H111" s="79">
        <f t="shared" si="3"/>
        <v>6.3785731296857121E-3</v>
      </c>
    </row>
    <row r="112" spans="2:8">
      <c r="B112" s="76">
        <v>43258</v>
      </c>
      <c r="C112" s="77">
        <v>19.799999</v>
      </c>
      <c r="D112" s="79">
        <f t="shared" si="2"/>
        <v>1.5384564102564086E-2</v>
      </c>
      <c r="F112" s="76">
        <v>43258</v>
      </c>
      <c r="G112" s="78">
        <v>34.740001999999997</v>
      </c>
      <c r="H112" s="79">
        <f t="shared" si="3"/>
        <v>8.6439069041729325E-4</v>
      </c>
    </row>
    <row r="113" spans="2:8">
      <c r="B113" s="76">
        <v>43259</v>
      </c>
      <c r="C113" s="77">
        <v>20.280000999999999</v>
      </c>
      <c r="D113" s="79">
        <f t="shared" si="2"/>
        <v>2.4242526476895222E-2</v>
      </c>
      <c r="F113" s="76">
        <v>43259</v>
      </c>
      <c r="G113" s="78">
        <v>34.82</v>
      </c>
      <c r="H113" s="79">
        <f t="shared" si="3"/>
        <v>2.3027632525756143E-3</v>
      </c>
    </row>
    <row r="114" spans="2:8">
      <c r="B114" s="76">
        <v>43262</v>
      </c>
      <c r="C114" s="77">
        <v>20.299999</v>
      </c>
      <c r="D114" s="79">
        <f t="shared" si="2"/>
        <v>9.860946259322705E-4</v>
      </c>
      <c r="F114" s="76">
        <v>43262</v>
      </c>
      <c r="G114" s="78">
        <v>34.880001</v>
      </c>
      <c r="H114" s="79">
        <f t="shared" si="3"/>
        <v>1.7231763354393953E-3</v>
      </c>
    </row>
    <row r="115" spans="2:8">
      <c r="B115" s="76">
        <v>43263</v>
      </c>
      <c r="C115" s="77">
        <v>20.77</v>
      </c>
      <c r="D115" s="79">
        <f t="shared" si="2"/>
        <v>2.3152759761219686E-2</v>
      </c>
      <c r="F115" s="76">
        <v>43263</v>
      </c>
      <c r="G115" s="78">
        <v>34.950001</v>
      </c>
      <c r="H115" s="79">
        <f t="shared" si="3"/>
        <v>2.0068806764082458E-3</v>
      </c>
    </row>
    <row r="116" spans="2:8">
      <c r="B116" s="76">
        <v>43264</v>
      </c>
      <c r="C116" s="77">
        <v>19.59</v>
      </c>
      <c r="D116" s="79">
        <f t="shared" si="2"/>
        <v>-5.6812710640346639E-2</v>
      </c>
      <c r="F116" s="76">
        <v>43264</v>
      </c>
      <c r="G116" s="78">
        <v>34.810001</v>
      </c>
      <c r="H116" s="79">
        <f t="shared" si="3"/>
        <v>-4.0057223460451567E-3</v>
      </c>
    </row>
    <row r="117" spans="2:8">
      <c r="B117" s="76">
        <v>43265</v>
      </c>
      <c r="C117" s="77">
        <v>19.049999</v>
      </c>
      <c r="D117" s="79">
        <f t="shared" si="2"/>
        <v>-2.7565135273098527E-2</v>
      </c>
      <c r="F117" s="76">
        <v>43265</v>
      </c>
      <c r="G117" s="78">
        <v>34.880001</v>
      </c>
      <c r="H117" s="79">
        <f t="shared" si="3"/>
        <v>2.0109163455640316E-3</v>
      </c>
    </row>
    <row r="118" spans="2:8">
      <c r="B118" s="76">
        <v>43266</v>
      </c>
      <c r="C118" s="77">
        <v>18.879999000000002</v>
      </c>
      <c r="D118" s="79">
        <f t="shared" si="2"/>
        <v>-8.923884982881004E-3</v>
      </c>
      <c r="F118" s="76">
        <v>43266</v>
      </c>
      <c r="G118" s="78">
        <v>34.729999999999997</v>
      </c>
      <c r="H118" s="79">
        <f t="shared" si="3"/>
        <v>-4.3004872620274054E-3</v>
      </c>
    </row>
    <row r="119" spans="2:8">
      <c r="B119" s="76">
        <v>43269</v>
      </c>
      <c r="C119" s="77">
        <v>18.879999000000002</v>
      </c>
      <c r="D119" s="79">
        <f t="shared" si="2"/>
        <v>0</v>
      </c>
      <c r="F119" s="76">
        <v>43269</v>
      </c>
      <c r="G119" s="78">
        <v>34.700001</v>
      </c>
      <c r="H119" s="79">
        <f t="shared" si="3"/>
        <v>-8.6377771379201153E-4</v>
      </c>
    </row>
    <row r="120" spans="2:8">
      <c r="B120" s="76">
        <v>43270</v>
      </c>
      <c r="C120" s="77">
        <v>18.959999</v>
      </c>
      <c r="D120" s="79">
        <f t="shared" si="2"/>
        <v>4.2372883600257762E-3</v>
      </c>
      <c r="F120" s="76">
        <v>43270</v>
      </c>
      <c r="G120" s="78">
        <v>34.560001</v>
      </c>
      <c r="H120" s="79">
        <f t="shared" si="3"/>
        <v>-4.0345820162944824E-3</v>
      </c>
    </row>
    <row r="121" spans="2:8">
      <c r="B121" s="76">
        <v>43271</v>
      </c>
      <c r="C121" s="77">
        <v>19.549999</v>
      </c>
      <c r="D121" s="79">
        <f t="shared" si="2"/>
        <v>3.1118145101167984E-2</v>
      </c>
      <c r="F121" s="76">
        <v>43271</v>
      </c>
      <c r="G121" s="78">
        <v>34.669998</v>
      </c>
      <c r="H121" s="79">
        <f t="shared" si="3"/>
        <v>3.1827834727203826E-3</v>
      </c>
    </row>
    <row r="122" spans="2:8">
      <c r="B122" s="76">
        <v>43272</v>
      </c>
      <c r="C122" s="77">
        <v>19.02</v>
      </c>
      <c r="D122" s="79">
        <f t="shared" si="2"/>
        <v>-2.7109924660354209E-2</v>
      </c>
      <c r="F122" s="76">
        <v>43272</v>
      </c>
      <c r="G122" s="78">
        <v>34.439999</v>
      </c>
      <c r="H122" s="79">
        <f t="shared" si="3"/>
        <v>-6.6339490414738245E-3</v>
      </c>
    </row>
    <row r="123" spans="2:8">
      <c r="B123" s="76">
        <v>43273</v>
      </c>
      <c r="C123" s="77">
        <v>18.450001</v>
      </c>
      <c r="D123" s="79">
        <f t="shared" si="2"/>
        <v>-2.9968401682439499E-2</v>
      </c>
      <c r="F123" s="76">
        <v>43273</v>
      </c>
      <c r="G123" s="78">
        <v>34.479999999999997</v>
      </c>
      <c r="H123" s="79">
        <f t="shared" si="3"/>
        <v>1.1614692555594042E-3</v>
      </c>
    </row>
    <row r="124" spans="2:8">
      <c r="B124" s="76">
        <v>43276</v>
      </c>
      <c r="C124" s="77">
        <v>18.200001</v>
      </c>
      <c r="D124" s="79">
        <f t="shared" si="2"/>
        <v>-1.3550134766930365E-2</v>
      </c>
      <c r="F124" s="76">
        <v>43276</v>
      </c>
      <c r="G124" s="78">
        <v>33.979999999999997</v>
      </c>
      <c r="H124" s="79">
        <f t="shared" si="3"/>
        <v>-1.4501160092807426E-2</v>
      </c>
    </row>
    <row r="125" spans="2:8">
      <c r="B125" s="76">
        <v>43277</v>
      </c>
      <c r="C125" s="77">
        <v>18.920000000000002</v>
      </c>
      <c r="D125" s="79">
        <f t="shared" si="2"/>
        <v>3.9560382441737305E-2</v>
      </c>
      <c r="F125" s="76">
        <v>43277</v>
      </c>
      <c r="G125" s="78">
        <v>34.080002</v>
      </c>
      <c r="H125" s="79">
        <f t="shared" si="3"/>
        <v>2.9429664508535459E-3</v>
      </c>
    </row>
    <row r="126" spans="2:8">
      <c r="B126" s="76">
        <v>43278</v>
      </c>
      <c r="C126" s="77">
        <v>18.129999000000002</v>
      </c>
      <c r="D126" s="79">
        <f t="shared" si="2"/>
        <v>-4.1754809725158569E-2</v>
      </c>
      <c r="F126" s="76">
        <v>43278</v>
      </c>
      <c r="G126" s="78">
        <v>33.770000000000003</v>
      </c>
      <c r="H126" s="79">
        <f t="shared" si="3"/>
        <v>-9.0963022830807712E-3</v>
      </c>
    </row>
    <row r="127" spans="2:8">
      <c r="B127" s="76">
        <v>43279</v>
      </c>
      <c r="C127" s="77">
        <v>18.110001</v>
      </c>
      <c r="D127" s="79">
        <f t="shared" si="2"/>
        <v>-1.1030337067310962E-3</v>
      </c>
      <c r="F127" s="76">
        <v>43279</v>
      </c>
      <c r="G127" s="78">
        <v>33.939999</v>
      </c>
      <c r="H127" s="79">
        <f t="shared" si="3"/>
        <v>5.0340242819069325E-3</v>
      </c>
    </row>
    <row r="128" spans="2:8">
      <c r="B128" s="76">
        <v>43280</v>
      </c>
      <c r="C128" s="77">
        <v>18.290001</v>
      </c>
      <c r="D128" s="79">
        <f t="shared" si="2"/>
        <v>9.9392595284781993E-3</v>
      </c>
      <c r="F128" s="76">
        <v>43280</v>
      </c>
      <c r="G128" s="78">
        <v>33.990001999999997</v>
      </c>
      <c r="H128" s="79">
        <f t="shared" si="3"/>
        <v>1.4732764134729847E-3</v>
      </c>
    </row>
    <row r="129" spans="2:8">
      <c r="B129" s="76">
        <v>43283</v>
      </c>
      <c r="C129" s="77">
        <v>18.34</v>
      </c>
      <c r="D129" s="79">
        <f t="shared" si="2"/>
        <v>2.7336794568791813E-3</v>
      </c>
      <c r="F129" s="76">
        <v>43283</v>
      </c>
      <c r="G129" s="78">
        <v>34.090000000000003</v>
      </c>
      <c r="H129" s="79">
        <f t="shared" si="3"/>
        <v>2.94198276304916E-3</v>
      </c>
    </row>
    <row r="130" spans="2:8">
      <c r="B130" s="76">
        <v>43284</v>
      </c>
      <c r="C130" s="77">
        <v>18.379999000000002</v>
      </c>
      <c r="D130" s="79">
        <f t="shared" si="2"/>
        <v>2.180970556161487E-3</v>
      </c>
      <c r="F130" s="76">
        <v>43284</v>
      </c>
      <c r="G130" s="78">
        <v>33.970001000000003</v>
      </c>
      <c r="H130" s="79">
        <f t="shared" si="3"/>
        <v>-3.5200645350542668E-3</v>
      </c>
    </row>
    <row r="131" spans="2:8">
      <c r="B131" s="76">
        <v>43286</v>
      </c>
      <c r="C131" s="77">
        <v>18.43</v>
      </c>
      <c r="D131" s="79">
        <f t="shared" si="2"/>
        <v>2.7204027595430329E-3</v>
      </c>
      <c r="F131" s="76">
        <v>43286</v>
      </c>
      <c r="G131" s="78">
        <v>34.279998999999997</v>
      </c>
      <c r="H131" s="79">
        <f t="shared" si="3"/>
        <v>9.1256400021887864E-3</v>
      </c>
    </row>
    <row r="132" spans="2:8">
      <c r="B132" s="76">
        <v>43287</v>
      </c>
      <c r="C132" s="77">
        <v>18.219999000000001</v>
      </c>
      <c r="D132" s="79">
        <f t="shared" si="2"/>
        <v>-1.1394519804666214E-2</v>
      </c>
      <c r="F132" s="76">
        <v>43287</v>
      </c>
      <c r="G132" s="78">
        <v>34.560001</v>
      </c>
      <c r="H132" s="79">
        <f t="shared" si="3"/>
        <v>8.1680865860002862E-3</v>
      </c>
    </row>
    <row r="133" spans="2:8">
      <c r="B133" s="76">
        <v>43290</v>
      </c>
      <c r="C133" s="77">
        <v>18.82</v>
      </c>
      <c r="D133" s="79">
        <f t="shared" si="2"/>
        <v>3.2930901917173475E-2</v>
      </c>
      <c r="F133" s="76">
        <v>43290</v>
      </c>
      <c r="G133" s="78">
        <v>34.869999</v>
      </c>
      <c r="H133" s="79">
        <f t="shared" si="3"/>
        <v>8.9698492774927929E-3</v>
      </c>
    </row>
    <row r="134" spans="2:8">
      <c r="B134" s="76">
        <v>43291</v>
      </c>
      <c r="C134" s="77">
        <v>18.459999</v>
      </c>
      <c r="D134" s="79">
        <f t="shared" ref="D134:D197" si="4">(C134-C133)/C133</f>
        <v>-1.9128639744952203E-2</v>
      </c>
      <c r="F134" s="76">
        <v>43291</v>
      </c>
      <c r="G134" s="78">
        <v>34.959999000000003</v>
      </c>
      <c r="H134" s="79">
        <f t="shared" ref="H134:H197" si="5">(G134-G133)/G133</f>
        <v>2.5810152733300455E-3</v>
      </c>
    </row>
    <row r="135" spans="2:8">
      <c r="B135" s="76">
        <v>43292</v>
      </c>
      <c r="C135" s="77">
        <v>18.170000000000002</v>
      </c>
      <c r="D135" s="79">
        <f t="shared" si="4"/>
        <v>-1.5709589150031813E-2</v>
      </c>
      <c r="F135" s="76">
        <v>43292</v>
      </c>
      <c r="G135" s="78">
        <v>34.709999000000003</v>
      </c>
      <c r="H135" s="79">
        <f t="shared" si="5"/>
        <v>-7.1510299528326641E-3</v>
      </c>
    </row>
    <row r="136" spans="2:8">
      <c r="B136" s="76">
        <v>43293</v>
      </c>
      <c r="C136" s="77">
        <v>18.139999</v>
      </c>
      <c r="D136" s="79">
        <f t="shared" si="4"/>
        <v>-1.6511282333517975E-3</v>
      </c>
      <c r="F136" s="76">
        <v>43293</v>
      </c>
      <c r="G136" s="78">
        <v>34.990001999999997</v>
      </c>
      <c r="H136" s="79">
        <f t="shared" si="5"/>
        <v>8.0669261903462894E-3</v>
      </c>
    </row>
    <row r="137" spans="2:8">
      <c r="B137" s="76">
        <v>43294</v>
      </c>
      <c r="C137" s="77">
        <v>18.18</v>
      </c>
      <c r="D137" s="79">
        <f t="shared" si="4"/>
        <v>2.2051269131823092E-3</v>
      </c>
      <c r="F137" s="76">
        <v>43294</v>
      </c>
      <c r="G137" s="78">
        <v>35</v>
      </c>
      <c r="H137" s="79">
        <f t="shared" si="5"/>
        <v>2.8573876617677991E-4</v>
      </c>
    </row>
    <row r="138" spans="2:8">
      <c r="B138" s="76">
        <v>43297</v>
      </c>
      <c r="C138" s="77">
        <v>17.950001</v>
      </c>
      <c r="D138" s="79">
        <f t="shared" si="4"/>
        <v>-1.2651210121012068E-2</v>
      </c>
      <c r="F138" s="76">
        <v>43297</v>
      </c>
      <c r="G138" s="78">
        <v>34.959999000000003</v>
      </c>
      <c r="H138" s="79">
        <f t="shared" si="5"/>
        <v>-1.1428857142856178E-3</v>
      </c>
    </row>
    <row r="139" spans="2:8">
      <c r="B139" s="76">
        <v>43298</v>
      </c>
      <c r="C139" s="77">
        <v>18.32</v>
      </c>
      <c r="D139" s="79">
        <f t="shared" si="4"/>
        <v>2.0612756511824148E-2</v>
      </c>
      <c r="F139" s="76">
        <v>43298</v>
      </c>
      <c r="G139" s="78">
        <v>35.099997999999999</v>
      </c>
      <c r="H139" s="79">
        <f t="shared" si="5"/>
        <v>4.0045481694663656E-3</v>
      </c>
    </row>
    <row r="140" spans="2:8">
      <c r="B140" s="76">
        <v>43299</v>
      </c>
      <c r="C140" s="77">
        <v>18.290001</v>
      </c>
      <c r="D140" s="79">
        <f t="shared" si="4"/>
        <v>-1.6375000000000059E-3</v>
      </c>
      <c r="F140" s="76">
        <v>43299</v>
      </c>
      <c r="G140" s="78">
        <v>35.159999999999997</v>
      </c>
      <c r="H140" s="79">
        <f t="shared" si="5"/>
        <v>1.7094587868636696E-3</v>
      </c>
    </row>
    <row r="141" spans="2:8">
      <c r="B141" s="76">
        <v>43300</v>
      </c>
      <c r="C141" s="77">
        <v>18.559999000000001</v>
      </c>
      <c r="D141" s="79">
        <f t="shared" si="4"/>
        <v>1.4762054961068678E-2</v>
      </c>
      <c r="F141" s="76">
        <v>43300</v>
      </c>
      <c r="G141" s="78">
        <v>35.080002</v>
      </c>
      <c r="H141" s="79">
        <f t="shared" si="5"/>
        <v>-2.2752559726961388E-3</v>
      </c>
    </row>
    <row r="142" spans="2:8">
      <c r="B142" s="76">
        <v>43301</v>
      </c>
      <c r="C142" s="77">
        <v>18.219999000000001</v>
      </c>
      <c r="D142" s="79">
        <f t="shared" si="4"/>
        <v>-1.8318966504254651E-2</v>
      </c>
      <c r="F142" s="76">
        <v>43301</v>
      </c>
      <c r="G142" s="78">
        <v>35.040000999999997</v>
      </c>
      <c r="H142" s="79">
        <f t="shared" si="5"/>
        <v>-1.1402792964494053E-3</v>
      </c>
    </row>
    <row r="143" spans="2:8">
      <c r="B143" s="76">
        <v>43304</v>
      </c>
      <c r="C143" s="77">
        <v>17.91</v>
      </c>
      <c r="D143" s="79">
        <f t="shared" si="4"/>
        <v>-1.7014216082009731E-2</v>
      </c>
      <c r="F143" s="76">
        <v>43304</v>
      </c>
      <c r="G143" s="78">
        <v>35.090000000000003</v>
      </c>
      <c r="H143" s="79">
        <f t="shared" si="5"/>
        <v>1.4269120597344388E-3</v>
      </c>
    </row>
    <row r="144" spans="2:8">
      <c r="B144" s="76">
        <v>43305</v>
      </c>
      <c r="C144" s="77">
        <v>17.350000000000001</v>
      </c>
      <c r="D144" s="79">
        <f t="shared" si="4"/>
        <v>-3.126744835287542E-2</v>
      </c>
      <c r="F144" s="76">
        <v>43305</v>
      </c>
      <c r="G144" s="78">
        <v>35.169998</v>
      </c>
      <c r="H144" s="79">
        <f t="shared" si="5"/>
        <v>2.2797948133370257E-3</v>
      </c>
    </row>
    <row r="145" spans="2:8">
      <c r="B145" s="76">
        <v>43306</v>
      </c>
      <c r="C145" s="77">
        <v>16.899999999999999</v>
      </c>
      <c r="D145" s="79">
        <f t="shared" si="4"/>
        <v>-2.5936599423631284E-2</v>
      </c>
      <c r="F145" s="76">
        <v>43306</v>
      </c>
      <c r="G145" s="78">
        <v>35.459999000000003</v>
      </c>
      <c r="H145" s="79">
        <f t="shared" si="5"/>
        <v>8.2456928203408983E-3</v>
      </c>
    </row>
    <row r="146" spans="2:8">
      <c r="B146" s="76">
        <v>43307</v>
      </c>
      <c r="C146" s="77">
        <v>17.219999000000001</v>
      </c>
      <c r="D146" s="79">
        <f t="shared" si="4"/>
        <v>1.8934852071006085E-2</v>
      </c>
      <c r="F146" s="76">
        <v>43307</v>
      </c>
      <c r="G146" s="78">
        <v>35.369999</v>
      </c>
      <c r="H146" s="79">
        <f t="shared" si="5"/>
        <v>-2.5380711375655538E-3</v>
      </c>
    </row>
    <row r="147" spans="2:8">
      <c r="B147" s="76">
        <v>43308</v>
      </c>
      <c r="C147" s="77">
        <v>16.940000999999999</v>
      </c>
      <c r="D147" s="79">
        <f t="shared" si="4"/>
        <v>-1.6260047401861207E-2</v>
      </c>
      <c r="F147" s="76">
        <v>43308</v>
      </c>
      <c r="G147" s="78">
        <v>35.099997999999999</v>
      </c>
      <c r="H147" s="79">
        <f t="shared" si="5"/>
        <v>-7.6336162746286932E-3</v>
      </c>
    </row>
    <row r="148" spans="2:8">
      <c r="B148" s="76">
        <v>43311</v>
      </c>
      <c r="C148" s="77">
        <v>17.489999999999998</v>
      </c>
      <c r="D148" s="79">
        <f t="shared" si="4"/>
        <v>3.2467471519039448E-2</v>
      </c>
      <c r="F148" s="76">
        <v>43311</v>
      </c>
      <c r="G148" s="78">
        <v>34.889999000000003</v>
      </c>
      <c r="H148" s="79">
        <f t="shared" si="5"/>
        <v>-5.9828778337821069E-3</v>
      </c>
    </row>
    <row r="149" spans="2:8">
      <c r="B149" s="76">
        <v>43312</v>
      </c>
      <c r="C149" s="77">
        <v>17.93</v>
      </c>
      <c r="D149" s="79">
        <f t="shared" si="4"/>
        <v>2.515723270440259E-2</v>
      </c>
      <c r="F149" s="76">
        <v>43312</v>
      </c>
      <c r="G149" s="78">
        <v>35.090000000000003</v>
      </c>
      <c r="H149" s="79">
        <f t="shared" si="5"/>
        <v>5.7323303448647365E-3</v>
      </c>
    </row>
    <row r="150" spans="2:8">
      <c r="B150" s="76">
        <v>43313</v>
      </c>
      <c r="C150" s="77">
        <v>17.620000999999998</v>
      </c>
      <c r="D150" s="79">
        <f t="shared" si="4"/>
        <v>-1.7289403234802079E-2</v>
      </c>
      <c r="F150" s="76">
        <v>43313</v>
      </c>
      <c r="G150" s="78">
        <v>35.060001</v>
      </c>
      <c r="H150" s="79">
        <f t="shared" si="5"/>
        <v>-8.5491593046462411E-4</v>
      </c>
    </row>
    <row r="151" spans="2:8">
      <c r="B151" s="76">
        <v>43314</v>
      </c>
      <c r="C151" s="77">
        <v>17.620000999999998</v>
      </c>
      <c r="D151" s="79">
        <f t="shared" si="4"/>
        <v>0</v>
      </c>
      <c r="F151" s="76">
        <v>43314</v>
      </c>
      <c r="G151" s="78">
        <v>35.290000999999997</v>
      </c>
      <c r="H151" s="79">
        <f t="shared" si="5"/>
        <v>6.5601823570968203E-3</v>
      </c>
    </row>
    <row r="152" spans="2:8">
      <c r="B152" s="76">
        <v>43315</v>
      </c>
      <c r="C152" s="77">
        <v>17.639999</v>
      </c>
      <c r="D152" s="79">
        <f t="shared" si="4"/>
        <v>1.1349602080045894E-3</v>
      </c>
      <c r="F152" s="76">
        <v>43315</v>
      </c>
      <c r="G152" s="78">
        <v>35.400002000000001</v>
      </c>
      <c r="H152" s="79">
        <f t="shared" si="5"/>
        <v>3.1170585685164481E-3</v>
      </c>
    </row>
    <row r="153" spans="2:8">
      <c r="B153" s="76">
        <v>43318</v>
      </c>
      <c r="C153" s="77">
        <v>17.75</v>
      </c>
      <c r="D153" s="79">
        <f t="shared" si="4"/>
        <v>6.2358847072497264E-3</v>
      </c>
      <c r="F153" s="76">
        <v>43318</v>
      </c>
      <c r="G153" s="78">
        <v>35.529998999999997</v>
      </c>
      <c r="H153" s="79">
        <f t="shared" si="5"/>
        <v>3.6722314309472616E-3</v>
      </c>
    </row>
    <row r="154" spans="2:8">
      <c r="B154" s="76">
        <v>43319</v>
      </c>
      <c r="C154" s="77">
        <v>17.829999999999998</v>
      </c>
      <c r="D154" s="79">
        <f t="shared" si="4"/>
        <v>4.5070422535210307E-3</v>
      </c>
      <c r="F154" s="76">
        <v>43319</v>
      </c>
      <c r="G154" s="78">
        <v>35.650002000000001</v>
      </c>
      <c r="H154" s="79">
        <f t="shared" si="5"/>
        <v>3.3775120567834547E-3</v>
      </c>
    </row>
    <row r="155" spans="2:8">
      <c r="B155" s="76">
        <v>43320</v>
      </c>
      <c r="C155" s="77">
        <v>17.510000000000002</v>
      </c>
      <c r="D155" s="79">
        <f t="shared" si="4"/>
        <v>-1.7947279865395221E-2</v>
      </c>
      <c r="F155" s="76">
        <v>43320</v>
      </c>
      <c r="G155" s="78">
        <v>35.630001</v>
      </c>
      <c r="H155" s="79">
        <f t="shared" si="5"/>
        <v>-5.6103783668793629E-4</v>
      </c>
    </row>
    <row r="156" spans="2:8">
      <c r="B156" s="76">
        <v>43321</v>
      </c>
      <c r="C156" s="77">
        <v>17.920000000000002</v>
      </c>
      <c r="D156" s="79">
        <f t="shared" si="4"/>
        <v>2.3415191319246152E-2</v>
      </c>
      <c r="F156" s="76">
        <v>43321</v>
      </c>
      <c r="G156" s="78">
        <v>35.590000000000003</v>
      </c>
      <c r="H156" s="79">
        <f t="shared" si="5"/>
        <v>-1.122677487435283E-3</v>
      </c>
    </row>
    <row r="157" spans="2:8">
      <c r="B157" s="76">
        <v>43322</v>
      </c>
      <c r="C157" s="77">
        <v>16.91</v>
      </c>
      <c r="D157" s="79">
        <f t="shared" si="4"/>
        <v>-5.6361607142857227E-2</v>
      </c>
      <c r="F157" s="76">
        <v>43322</v>
      </c>
      <c r="G157" s="78">
        <v>35.369999</v>
      </c>
      <c r="H157" s="79">
        <f t="shared" si="5"/>
        <v>-6.181539758359186E-3</v>
      </c>
    </row>
    <row r="158" spans="2:8">
      <c r="B158" s="76">
        <v>43325</v>
      </c>
      <c r="C158" s="77">
        <v>16</v>
      </c>
      <c r="D158" s="79">
        <f t="shared" si="4"/>
        <v>-5.3814311058545249E-2</v>
      </c>
      <c r="F158" s="76">
        <v>43325</v>
      </c>
      <c r="G158" s="78">
        <v>35.209999000000003</v>
      </c>
      <c r="H158" s="79">
        <f t="shared" si="5"/>
        <v>-4.5236077049365083E-3</v>
      </c>
    </row>
    <row r="159" spans="2:8">
      <c r="B159" s="76">
        <v>43326</v>
      </c>
      <c r="C159" s="77">
        <v>16.860001</v>
      </c>
      <c r="D159" s="79">
        <f t="shared" si="4"/>
        <v>5.3750062500000029E-2</v>
      </c>
      <c r="F159" s="76">
        <v>43326</v>
      </c>
      <c r="G159" s="78">
        <v>35.450001</v>
      </c>
      <c r="H159" s="79">
        <f t="shared" si="5"/>
        <v>6.8163023804685965E-3</v>
      </c>
    </row>
    <row r="160" spans="2:8">
      <c r="B160" s="76">
        <v>43327</v>
      </c>
      <c r="C160" s="77">
        <v>16.48</v>
      </c>
      <c r="D160" s="79">
        <f t="shared" si="4"/>
        <v>-2.2538610762834477E-2</v>
      </c>
      <c r="F160" s="76">
        <v>43327</v>
      </c>
      <c r="G160" s="78">
        <v>35.18</v>
      </c>
      <c r="H160" s="79">
        <f t="shared" si="5"/>
        <v>-7.616389065828252E-3</v>
      </c>
    </row>
    <row r="161" spans="2:8">
      <c r="B161" s="76">
        <v>43328</v>
      </c>
      <c r="C161" s="77">
        <v>16.889999</v>
      </c>
      <c r="D161" s="79">
        <f t="shared" si="4"/>
        <v>2.4878580097087325E-2</v>
      </c>
      <c r="F161" s="76">
        <v>43328</v>
      </c>
      <c r="G161" s="78">
        <v>35.470001000000003</v>
      </c>
      <c r="H161" s="79">
        <f t="shared" si="5"/>
        <v>8.2433484934622998E-3</v>
      </c>
    </row>
    <row r="162" spans="2:8">
      <c r="B162" s="76">
        <v>43329</v>
      </c>
      <c r="C162" s="77">
        <v>17.09</v>
      </c>
      <c r="D162" s="79">
        <f t="shared" si="4"/>
        <v>1.1841386136257339E-2</v>
      </c>
      <c r="F162" s="76">
        <v>43329</v>
      </c>
      <c r="G162" s="78">
        <v>35.619999</v>
      </c>
      <c r="H162" s="79">
        <f t="shared" si="5"/>
        <v>4.2288693479314117E-3</v>
      </c>
    </row>
    <row r="163" spans="2:8">
      <c r="B163" s="76">
        <v>43332</v>
      </c>
      <c r="C163" s="77">
        <v>16.73</v>
      </c>
      <c r="D163" s="79">
        <f t="shared" si="4"/>
        <v>-2.1064950263311844E-2</v>
      </c>
      <c r="F163" s="76">
        <v>43332</v>
      </c>
      <c r="G163" s="78">
        <v>35.68</v>
      </c>
      <c r="H163" s="79">
        <f t="shared" si="5"/>
        <v>1.6844750613271985E-3</v>
      </c>
    </row>
    <row r="164" spans="2:8">
      <c r="B164" s="76">
        <v>43333</v>
      </c>
      <c r="C164" s="77">
        <v>17.129999000000002</v>
      </c>
      <c r="D164" s="79">
        <f t="shared" si="4"/>
        <v>2.3909085475194328E-2</v>
      </c>
      <c r="F164" s="76">
        <v>43333</v>
      </c>
      <c r="G164" s="78">
        <v>35.799999</v>
      </c>
      <c r="H164" s="79">
        <f t="shared" si="5"/>
        <v>3.3632006726457388E-3</v>
      </c>
    </row>
    <row r="165" spans="2:8">
      <c r="B165" s="76">
        <v>43334</v>
      </c>
      <c r="C165" s="77">
        <v>16.670000000000002</v>
      </c>
      <c r="D165" s="79">
        <f t="shared" si="4"/>
        <v>-2.6853416628920983E-2</v>
      </c>
      <c r="F165" s="76">
        <v>43334</v>
      </c>
      <c r="G165" s="78">
        <v>35.82</v>
      </c>
      <c r="H165" s="79">
        <f t="shared" si="5"/>
        <v>5.5868716644379244E-4</v>
      </c>
    </row>
    <row r="166" spans="2:8">
      <c r="B166" s="76">
        <v>43335</v>
      </c>
      <c r="C166" s="77">
        <v>16.219999000000001</v>
      </c>
      <c r="D166" s="79">
        <f t="shared" si="4"/>
        <v>-2.699466106778646E-2</v>
      </c>
      <c r="F166" s="76">
        <v>43335</v>
      </c>
      <c r="G166" s="78">
        <v>35.75</v>
      </c>
      <c r="H166" s="79">
        <f t="shared" si="5"/>
        <v>-1.9542155220547259E-3</v>
      </c>
    </row>
    <row r="167" spans="2:8">
      <c r="B167" s="76">
        <v>43336</v>
      </c>
      <c r="C167" s="77">
        <v>16.100000000000001</v>
      </c>
      <c r="D167" s="79">
        <f t="shared" si="4"/>
        <v>-7.3982125399637789E-3</v>
      </c>
      <c r="F167" s="76">
        <v>43336</v>
      </c>
      <c r="G167" s="78">
        <v>35.970001000000003</v>
      </c>
      <c r="H167" s="79">
        <f t="shared" si="5"/>
        <v>6.1538741258742218E-3</v>
      </c>
    </row>
    <row r="168" spans="2:8">
      <c r="B168" s="76">
        <v>43339</v>
      </c>
      <c r="C168" s="77">
        <v>16.379999000000002</v>
      </c>
      <c r="D168" s="79">
        <f t="shared" si="4"/>
        <v>1.739124223602485E-2</v>
      </c>
      <c r="F168" s="76">
        <v>43339</v>
      </c>
      <c r="G168" s="78">
        <v>36.220001000000003</v>
      </c>
      <c r="H168" s="79">
        <f t="shared" si="5"/>
        <v>6.9502361148113386E-3</v>
      </c>
    </row>
    <row r="169" spans="2:8">
      <c r="B169" s="76">
        <v>43340</v>
      </c>
      <c r="C169" s="77">
        <v>15.99</v>
      </c>
      <c r="D169" s="79">
        <f t="shared" si="4"/>
        <v>-2.380946421303208E-2</v>
      </c>
      <c r="F169" s="76">
        <v>43340</v>
      </c>
      <c r="G169" s="78">
        <v>36.240001999999997</v>
      </c>
      <c r="H169" s="79">
        <f t="shared" si="5"/>
        <v>5.5220870921548278E-4</v>
      </c>
    </row>
    <row r="170" spans="2:8">
      <c r="B170" s="76">
        <v>43341</v>
      </c>
      <c r="C170" s="77">
        <v>16.18</v>
      </c>
      <c r="D170" s="79">
        <f t="shared" si="4"/>
        <v>1.1882426516572826E-2</v>
      </c>
      <c r="F170" s="76">
        <v>43341</v>
      </c>
      <c r="G170" s="78">
        <v>36.439999</v>
      </c>
      <c r="H170" s="79">
        <f t="shared" si="5"/>
        <v>5.5186807108896776E-3</v>
      </c>
    </row>
    <row r="171" spans="2:8">
      <c r="B171" s="76">
        <v>43342</v>
      </c>
      <c r="C171" s="77">
        <v>15.85</v>
      </c>
      <c r="D171" s="79">
        <f t="shared" si="4"/>
        <v>-2.0395550061804702E-2</v>
      </c>
      <c r="F171" s="76">
        <v>43342</v>
      </c>
      <c r="G171" s="78">
        <v>36.279998999999997</v>
      </c>
      <c r="H171" s="79">
        <f t="shared" si="5"/>
        <v>-4.3907794838304931E-3</v>
      </c>
    </row>
    <row r="172" spans="2:8">
      <c r="B172" s="76">
        <v>43343</v>
      </c>
      <c r="C172" s="77">
        <v>15.62</v>
      </c>
      <c r="D172" s="79">
        <f t="shared" si="4"/>
        <v>-1.451104100946375E-2</v>
      </c>
      <c r="F172" s="76">
        <v>43343</v>
      </c>
      <c r="G172" s="78">
        <v>36.310001</v>
      </c>
      <c r="H172" s="79">
        <f t="shared" si="5"/>
        <v>8.2695702389636765E-4</v>
      </c>
    </row>
    <row r="173" spans="2:8">
      <c r="B173" s="76">
        <v>43347</v>
      </c>
      <c r="C173" s="77">
        <v>15.47</v>
      </c>
      <c r="D173" s="79">
        <f t="shared" si="4"/>
        <v>-9.6030729833545825E-3</v>
      </c>
      <c r="F173" s="76">
        <v>43347</v>
      </c>
      <c r="G173" s="78">
        <v>36.270000000000003</v>
      </c>
      <c r="H173" s="79">
        <f t="shared" si="5"/>
        <v>-1.101652407004798E-3</v>
      </c>
    </row>
    <row r="174" spans="2:8">
      <c r="B174" s="76">
        <v>43348</v>
      </c>
      <c r="C174" s="77">
        <v>15.98</v>
      </c>
      <c r="D174" s="79">
        <f t="shared" si="4"/>
        <v>3.2967032967032954E-2</v>
      </c>
      <c r="F174" s="76">
        <v>43348</v>
      </c>
      <c r="G174" s="78">
        <v>36.150002000000001</v>
      </c>
      <c r="H174" s="79">
        <f t="shared" si="5"/>
        <v>-3.3084642955611382E-3</v>
      </c>
    </row>
    <row r="175" spans="2:8">
      <c r="B175" s="76">
        <v>43349</v>
      </c>
      <c r="C175" s="77">
        <v>16.079999999999998</v>
      </c>
      <c r="D175" s="79">
        <f t="shared" si="4"/>
        <v>6.2578222778471755E-3</v>
      </c>
      <c r="F175" s="76">
        <v>43349</v>
      </c>
      <c r="G175" s="78">
        <v>36.009998000000003</v>
      </c>
      <c r="H175" s="79">
        <f t="shared" si="5"/>
        <v>-3.8728628562730806E-3</v>
      </c>
    </row>
    <row r="176" spans="2:8">
      <c r="B176" s="76">
        <v>43350</v>
      </c>
      <c r="C176" s="77">
        <v>15.96</v>
      </c>
      <c r="D176" s="79">
        <f t="shared" si="4"/>
        <v>-7.4626865671640211E-3</v>
      </c>
      <c r="F176" s="76">
        <v>43350</v>
      </c>
      <c r="G176" s="78">
        <v>35.950001</v>
      </c>
      <c r="H176" s="79">
        <f t="shared" si="5"/>
        <v>-1.6661206146138285E-3</v>
      </c>
    </row>
    <row r="177" spans="2:8">
      <c r="B177" s="76">
        <v>43353</v>
      </c>
      <c r="C177" s="77">
        <v>16.73</v>
      </c>
      <c r="D177" s="79">
        <f t="shared" si="4"/>
        <v>4.8245614035087689E-2</v>
      </c>
      <c r="F177" s="76">
        <v>43353</v>
      </c>
      <c r="G177" s="78">
        <v>36.029998999999997</v>
      </c>
      <c r="H177" s="79">
        <f t="shared" si="5"/>
        <v>2.2252572399092908E-3</v>
      </c>
    </row>
    <row r="178" spans="2:8">
      <c r="B178" s="76">
        <v>43354</v>
      </c>
      <c r="C178" s="77">
        <v>16.809999000000001</v>
      </c>
      <c r="D178" s="79">
        <f t="shared" si="4"/>
        <v>4.7817692767484054E-3</v>
      </c>
      <c r="F178" s="76">
        <v>43354</v>
      </c>
      <c r="G178" s="78">
        <v>36.130001</v>
      </c>
      <c r="H178" s="79">
        <f t="shared" si="5"/>
        <v>2.7755204767006374E-3</v>
      </c>
    </row>
    <row r="179" spans="2:8">
      <c r="B179" s="76">
        <v>43355</v>
      </c>
      <c r="C179" s="77">
        <v>17.110001</v>
      </c>
      <c r="D179" s="79">
        <f t="shared" si="4"/>
        <v>1.7846639967081451E-2</v>
      </c>
      <c r="F179" s="76">
        <v>43355</v>
      </c>
      <c r="G179" s="78">
        <v>36.150002000000001</v>
      </c>
      <c r="H179" s="79">
        <f t="shared" si="5"/>
        <v>5.5358426367053243E-4</v>
      </c>
    </row>
    <row r="180" spans="2:8">
      <c r="B180" s="76">
        <v>43356</v>
      </c>
      <c r="C180" s="77">
        <v>16.209999</v>
      </c>
      <c r="D180" s="79">
        <f t="shared" si="4"/>
        <v>-5.2600932051377475E-2</v>
      </c>
      <c r="F180" s="76">
        <v>43356</v>
      </c>
      <c r="G180" s="78">
        <v>36.299999</v>
      </c>
      <c r="H180" s="79">
        <f t="shared" si="5"/>
        <v>4.1492943762492475E-3</v>
      </c>
    </row>
    <row r="181" spans="2:8">
      <c r="B181" s="76">
        <v>43357</v>
      </c>
      <c r="C181" s="77">
        <v>16.48</v>
      </c>
      <c r="D181" s="79">
        <f t="shared" si="4"/>
        <v>1.6656447665419388E-2</v>
      </c>
      <c r="F181" s="76">
        <v>43357</v>
      </c>
      <c r="G181" s="78">
        <v>36.360000999999997</v>
      </c>
      <c r="H181" s="79">
        <f t="shared" si="5"/>
        <v>1.6529477039378768E-3</v>
      </c>
    </row>
    <row r="182" spans="2:8">
      <c r="B182" s="76">
        <v>43360</v>
      </c>
      <c r="C182" s="77">
        <v>16.209999</v>
      </c>
      <c r="D182" s="79">
        <f t="shared" si="4"/>
        <v>-1.6383555825242754E-2</v>
      </c>
      <c r="F182" s="76">
        <v>43360</v>
      </c>
      <c r="G182" s="78">
        <v>36.119999</v>
      </c>
      <c r="H182" s="79">
        <f t="shared" si="5"/>
        <v>-6.6007148899692543E-3</v>
      </c>
    </row>
    <row r="183" spans="2:8">
      <c r="B183" s="76">
        <v>43361</v>
      </c>
      <c r="C183" s="77">
        <v>16.170000000000002</v>
      </c>
      <c r="D183" s="79">
        <f t="shared" si="4"/>
        <v>-2.4675510467334462E-3</v>
      </c>
      <c r="F183" s="76">
        <v>43361</v>
      </c>
      <c r="G183" s="78">
        <v>36.299999</v>
      </c>
      <c r="H183" s="79">
        <f t="shared" si="5"/>
        <v>4.9833888422865054E-3</v>
      </c>
    </row>
    <row r="184" spans="2:8">
      <c r="B184" s="76">
        <v>43362</v>
      </c>
      <c r="C184" s="77">
        <v>15.99</v>
      </c>
      <c r="D184" s="79">
        <f t="shared" si="4"/>
        <v>-1.1131725417439795E-2</v>
      </c>
      <c r="F184" s="76">
        <v>43362</v>
      </c>
      <c r="G184" s="78">
        <v>36.310001</v>
      </c>
      <c r="H184" s="79">
        <f t="shared" si="5"/>
        <v>2.7553719767320285E-4</v>
      </c>
    </row>
    <row r="185" spans="2:8">
      <c r="B185" s="76">
        <v>43363</v>
      </c>
      <c r="C185" s="77">
        <v>15.98</v>
      </c>
      <c r="D185" s="79">
        <f t="shared" si="4"/>
        <v>-6.2539086929329498E-4</v>
      </c>
      <c r="F185" s="76">
        <v>43363</v>
      </c>
      <c r="G185" s="78">
        <v>36.580002</v>
      </c>
      <c r="H185" s="79">
        <f t="shared" si="5"/>
        <v>7.4359953887084881E-3</v>
      </c>
    </row>
    <row r="186" spans="2:8">
      <c r="B186" s="76">
        <v>43364</v>
      </c>
      <c r="C186" s="77">
        <v>15.68</v>
      </c>
      <c r="D186" s="79">
        <f t="shared" si="4"/>
        <v>-1.8773466833541971E-2</v>
      </c>
      <c r="F186" s="76">
        <v>43364</v>
      </c>
      <c r="G186" s="78">
        <v>36.369999</v>
      </c>
      <c r="H186" s="79">
        <f t="shared" si="5"/>
        <v>-5.7409236883038004E-3</v>
      </c>
    </row>
    <row r="187" spans="2:8">
      <c r="B187" s="76">
        <v>43367</v>
      </c>
      <c r="C187" s="77">
        <v>15.45</v>
      </c>
      <c r="D187" s="79">
        <f t="shared" si="4"/>
        <v>-1.4668367346938802E-2</v>
      </c>
      <c r="F187" s="76">
        <v>43367</v>
      </c>
      <c r="G187" s="78">
        <v>36.259998000000003</v>
      </c>
      <c r="H187" s="79">
        <f t="shared" si="5"/>
        <v>-3.024498295971823E-3</v>
      </c>
    </row>
    <row r="188" spans="2:8">
      <c r="B188" s="76">
        <v>43368</v>
      </c>
      <c r="C188" s="77">
        <v>15.22</v>
      </c>
      <c r="D188" s="79">
        <f t="shared" si="4"/>
        <v>-1.4886731391585674E-2</v>
      </c>
      <c r="F188" s="76">
        <v>43368</v>
      </c>
      <c r="G188" s="78">
        <v>36.220001000000003</v>
      </c>
      <c r="H188" s="79">
        <f t="shared" si="5"/>
        <v>-1.1030612853315551E-3</v>
      </c>
    </row>
    <row r="189" spans="2:8">
      <c r="B189" s="76">
        <v>43369</v>
      </c>
      <c r="C189" s="77">
        <v>14.87</v>
      </c>
      <c r="D189" s="79">
        <f t="shared" si="4"/>
        <v>-2.2996057818659751E-2</v>
      </c>
      <c r="F189" s="76">
        <v>43369</v>
      </c>
      <c r="G189" s="78">
        <v>36.099997999999999</v>
      </c>
      <c r="H189" s="79">
        <f t="shared" si="5"/>
        <v>-3.3131694281290625E-3</v>
      </c>
    </row>
    <row r="190" spans="2:8">
      <c r="B190" s="76">
        <v>43370</v>
      </c>
      <c r="C190" s="77">
        <v>14.81</v>
      </c>
      <c r="D190" s="79">
        <f t="shared" si="4"/>
        <v>-4.0349697377268815E-3</v>
      </c>
      <c r="F190" s="76">
        <v>43370</v>
      </c>
      <c r="G190" s="78">
        <v>36.18</v>
      </c>
      <c r="H190" s="79">
        <f t="shared" si="5"/>
        <v>2.2161220064333617E-3</v>
      </c>
    </row>
    <row r="191" spans="2:8">
      <c r="B191" s="76">
        <v>43371</v>
      </c>
      <c r="C191" s="77">
        <v>14.68</v>
      </c>
      <c r="D191" s="79">
        <f t="shared" si="4"/>
        <v>-8.7778528021607554E-3</v>
      </c>
      <c r="F191" s="76">
        <v>43371</v>
      </c>
      <c r="G191" s="78">
        <v>36.200001</v>
      </c>
      <c r="H191" s="79">
        <f t="shared" si="5"/>
        <v>5.5281923714761195E-4</v>
      </c>
    </row>
    <row r="192" spans="2:8">
      <c r="B192" s="76">
        <v>43374</v>
      </c>
      <c r="C192" s="77">
        <v>14.1</v>
      </c>
      <c r="D192" s="79">
        <f t="shared" si="4"/>
        <v>-3.9509536784741152E-2</v>
      </c>
      <c r="F192" s="76">
        <v>43374</v>
      </c>
      <c r="G192" s="78">
        <v>36.259998000000003</v>
      </c>
      <c r="H192" s="79">
        <f t="shared" si="5"/>
        <v>1.6573756448239529E-3</v>
      </c>
    </row>
    <row r="193" spans="2:8">
      <c r="B193" s="76">
        <v>43375</v>
      </c>
      <c r="C193" s="77">
        <v>14.08</v>
      </c>
      <c r="D193" s="79">
        <f t="shared" si="4"/>
        <v>-1.4184397163120265E-3</v>
      </c>
      <c r="F193" s="76">
        <v>43375</v>
      </c>
      <c r="G193" s="78">
        <v>36.209999000000003</v>
      </c>
      <c r="H193" s="79">
        <f t="shared" si="5"/>
        <v>-1.3789024478159011E-3</v>
      </c>
    </row>
    <row r="194" spans="2:8">
      <c r="B194" s="76">
        <v>43376</v>
      </c>
      <c r="C194" s="77">
        <v>14.22</v>
      </c>
      <c r="D194" s="79">
        <f t="shared" si="4"/>
        <v>9.9431818181818579E-3</v>
      </c>
      <c r="F194" s="76">
        <v>43376</v>
      </c>
      <c r="G194" s="78">
        <v>36.259998000000003</v>
      </c>
      <c r="H194" s="79">
        <f t="shared" si="5"/>
        <v>1.3808064452031517E-3</v>
      </c>
    </row>
    <row r="195" spans="2:8">
      <c r="B195" s="76">
        <v>43377</v>
      </c>
      <c r="C195" s="77">
        <v>14.07</v>
      </c>
      <c r="D195" s="79">
        <f t="shared" si="4"/>
        <v>-1.0548523206751079E-2</v>
      </c>
      <c r="F195" s="76">
        <v>43377</v>
      </c>
      <c r="G195" s="78">
        <v>35.939999</v>
      </c>
      <c r="H195" s="79">
        <f t="shared" si="5"/>
        <v>-8.8251245904647536E-3</v>
      </c>
    </row>
    <row r="196" spans="2:8">
      <c r="B196" s="76">
        <v>43378</v>
      </c>
      <c r="C196" s="77">
        <v>13.96</v>
      </c>
      <c r="D196" s="79">
        <f t="shared" si="4"/>
        <v>-7.8180525941719571E-3</v>
      </c>
      <c r="F196" s="76">
        <v>43378</v>
      </c>
      <c r="G196" s="78">
        <v>35.740001999999997</v>
      </c>
      <c r="H196" s="79">
        <f t="shared" si="5"/>
        <v>-5.5647469550570471E-3</v>
      </c>
    </row>
    <row r="197" spans="2:8">
      <c r="B197" s="76">
        <v>43381</v>
      </c>
      <c r="C197" s="77">
        <v>14.1</v>
      </c>
      <c r="D197" s="79">
        <f t="shared" si="4"/>
        <v>1.0028653295128852E-2</v>
      </c>
      <c r="F197" s="76">
        <v>43381</v>
      </c>
      <c r="G197" s="78">
        <v>35.709999000000003</v>
      </c>
      <c r="H197" s="79">
        <f t="shared" si="5"/>
        <v>-8.3947952772900141E-4</v>
      </c>
    </row>
    <row r="198" spans="2:8">
      <c r="B198" s="76">
        <v>43382</v>
      </c>
      <c r="C198" s="77">
        <v>13.5</v>
      </c>
      <c r="D198" s="79">
        <f t="shared" ref="D198:D261" si="6">(C198-C197)/C197</f>
        <v>-4.255319148936168E-2</v>
      </c>
      <c r="F198" s="76">
        <v>43382</v>
      </c>
      <c r="G198" s="78">
        <v>35.650002000000001</v>
      </c>
      <c r="H198" s="79">
        <f t="shared" ref="H198:H261" si="7">(G198-G197)/G197</f>
        <v>-1.6801176611627106E-3</v>
      </c>
    </row>
    <row r="199" spans="2:8">
      <c r="B199" s="76">
        <v>43383</v>
      </c>
      <c r="C199" s="77">
        <v>13.48</v>
      </c>
      <c r="D199" s="79">
        <f t="shared" si="6"/>
        <v>-1.48148148148145E-3</v>
      </c>
      <c r="F199" s="76">
        <v>43383</v>
      </c>
      <c r="G199" s="78">
        <v>34.520000000000003</v>
      </c>
      <c r="H199" s="79">
        <f t="shared" si="7"/>
        <v>-3.1697109021199987E-2</v>
      </c>
    </row>
    <row r="200" spans="2:8">
      <c r="B200" s="76">
        <v>43384</v>
      </c>
      <c r="C200" s="77">
        <v>13.37</v>
      </c>
      <c r="D200" s="79">
        <f t="shared" si="6"/>
        <v>-8.1602373887241248E-3</v>
      </c>
      <c r="F200" s="76">
        <v>43384</v>
      </c>
      <c r="G200" s="78">
        <v>33.830002</v>
      </c>
      <c r="H200" s="79">
        <f t="shared" si="7"/>
        <v>-1.9988354577056857E-2</v>
      </c>
    </row>
    <row r="201" spans="2:8">
      <c r="B201" s="76">
        <v>43385</v>
      </c>
      <c r="C201" s="77">
        <v>13.09</v>
      </c>
      <c r="D201" s="79">
        <f t="shared" si="6"/>
        <v>-2.0942408376963303E-2</v>
      </c>
      <c r="F201" s="76">
        <v>43385</v>
      </c>
      <c r="G201" s="78">
        <v>34.229999999999997</v>
      </c>
      <c r="H201" s="79">
        <f t="shared" si="7"/>
        <v>1.1823765189254098E-2</v>
      </c>
    </row>
    <row r="202" spans="2:8">
      <c r="B202" s="76">
        <v>43388</v>
      </c>
      <c r="C202" s="77">
        <v>13.16</v>
      </c>
      <c r="D202" s="79">
        <f t="shared" si="6"/>
        <v>5.3475935828877219E-3</v>
      </c>
      <c r="F202" s="76">
        <v>43388</v>
      </c>
      <c r="G202" s="78">
        <v>34.07</v>
      </c>
      <c r="H202" s="79">
        <f t="shared" si="7"/>
        <v>-4.6742623429739004E-3</v>
      </c>
    </row>
    <row r="203" spans="2:8">
      <c r="B203" s="76">
        <v>43389</v>
      </c>
      <c r="C203" s="77">
        <v>13.65</v>
      </c>
      <c r="D203" s="79">
        <f t="shared" si="6"/>
        <v>3.7234042553191508E-2</v>
      </c>
      <c r="F203" s="76">
        <v>43389</v>
      </c>
      <c r="G203" s="78">
        <v>34.799999</v>
      </c>
      <c r="H203" s="79">
        <f t="shared" si="7"/>
        <v>2.1426445553272656E-2</v>
      </c>
    </row>
    <row r="204" spans="2:8">
      <c r="B204" s="76">
        <v>43390</v>
      </c>
      <c r="C204" s="77">
        <v>13.13</v>
      </c>
      <c r="D204" s="79">
        <f t="shared" si="6"/>
        <v>-3.8095238095238064E-2</v>
      </c>
      <c r="F204" s="76">
        <v>43390</v>
      </c>
      <c r="G204" s="78">
        <v>34.810001</v>
      </c>
      <c r="H204" s="79">
        <f t="shared" si="7"/>
        <v>2.8741380136246747E-4</v>
      </c>
    </row>
    <row r="205" spans="2:8">
      <c r="B205" s="76">
        <v>43391</v>
      </c>
      <c r="C205" s="77">
        <v>12.54</v>
      </c>
      <c r="D205" s="79">
        <f t="shared" si="6"/>
        <v>-4.4935262757045055E-2</v>
      </c>
      <c r="F205" s="76">
        <v>43391</v>
      </c>
      <c r="G205" s="78">
        <v>34.290000999999997</v>
      </c>
      <c r="H205" s="79">
        <f t="shared" si="7"/>
        <v>-1.4938235709904263E-2</v>
      </c>
    </row>
    <row r="206" spans="2:8">
      <c r="B206" s="76">
        <v>43392</v>
      </c>
      <c r="C206" s="77">
        <v>12.11</v>
      </c>
      <c r="D206" s="79">
        <f t="shared" si="6"/>
        <v>-3.4290271132376378E-2</v>
      </c>
      <c r="F206" s="76">
        <v>43392</v>
      </c>
      <c r="G206" s="78">
        <v>34.220001000000003</v>
      </c>
      <c r="H206" s="79">
        <f t="shared" si="7"/>
        <v>-2.0414114306964641E-3</v>
      </c>
    </row>
    <row r="207" spans="2:8">
      <c r="B207" s="76">
        <v>43395</v>
      </c>
      <c r="C207" s="77">
        <v>11.82</v>
      </c>
      <c r="D207" s="79">
        <f t="shared" si="6"/>
        <v>-2.3947151114781105E-2</v>
      </c>
      <c r="F207" s="76">
        <v>43395</v>
      </c>
      <c r="G207" s="78">
        <v>34.090000000000003</v>
      </c>
      <c r="H207" s="79">
        <f t="shared" si="7"/>
        <v>-3.7989770952958188E-3</v>
      </c>
    </row>
    <row r="208" spans="2:8">
      <c r="B208" s="76">
        <v>43396</v>
      </c>
      <c r="C208" s="77">
        <v>12.15</v>
      </c>
      <c r="D208" s="79">
        <f t="shared" si="6"/>
        <v>2.7918781725888329E-2</v>
      </c>
      <c r="F208" s="76">
        <v>43396</v>
      </c>
      <c r="G208" s="78">
        <v>33.889999000000003</v>
      </c>
      <c r="H208" s="79">
        <f t="shared" si="7"/>
        <v>-5.8668524493986594E-3</v>
      </c>
    </row>
    <row r="209" spans="2:8">
      <c r="B209" s="76">
        <v>43397</v>
      </c>
      <c r="C209" s="77">
        <v>11.96</v>
      </c>
      <c r="D209" s="79">
        <f t="shared" si="6"/>
        <v>-1.5637860082304486E-2</v>
      </c>
      <c r="F209" s="76">
        <v>43397</v>
      </c>
      <c r="G209" s="78">
        <v>32.840000000000003</v>
      </c>
      <c r="H209" s="79">
        <f t="shared" si="7"/>
        <v>-3.0982562141710291E-2</v>
      </c>
    </row>
    <row r="210" spans="2:8">
      <c r="B210" s="76">
        <v>43398</v>
      </c>
      <c r="C210" s="77">
        <v>12.31</v>
      </c>
      <c r="D210" s="79">
        <f t="shared" si="6"/>
        <v>2.9264214046822709E-2</v>
      </c>
      <c r="F210" s="76">
        <v>43398</v>
      </c>
      <c r="G210" s="78">
        <v>33.419998</v>
      </c>
      <c r="H210" s="79">
        <f t="shared" si="7"/>
        <v>1.7661327649208167E-2</v>
      </c>
    </row>
    <row r="211" spans="2:8">
      <c r="B211" s="76">
        <v>43399</v>
      </c>
      <c r="C211" s="77">
        <v>12.1</v>
      </c>
      <c r="D211" s="79">
        <f t="shared" si="6"/>
        <v>-1.7059301380991133E-2</v>
      </c>
      <c r="F211" s="76">
        <v>43399</v>
      </c>
      <c r="G211" s="78">
        <v>32.849997999999999</v>
      </c>
      <c r="H211" s="79">
        <f t="shared" si="7"/>
        <v>-1.7055656316915406E-2</v>
      </c>
    </row>
    <row r="212" spans="2:8">
      <c r="B212" s="76">
        <v>43402</v>
      </c>
      <c r="C212" s="77">
        <v>11.85</v>
      </c>
      <c r="D212" s="79">
        <f t="shared" si="6"/>
        <v>-2.0661157024793389E-2</v>
      </c>
      <c r="F212" s="76">
        <v>43402</v>
      </c>
      <c r="G212" s="78">
        <v>32.720001000000003</v>
      </c>
      <c r="H212" s="79">
        <f t="shared" si="7"/>
        <v>-3.9572909563037389E-3</v>
      </c>
    </row>
    <row r="213" spans="2:8">
      <c r="B213" s="76">
        <v>43403</v>
      </c>
      <c r="C213" s="77">
        <v>12.57</v>
      </c>
      <c r="D213" s="79">
        <f t="shared" si="6"/>
        <v>6.0759493670886129E-2</v>
      </c>
      <c r="F213" s="76">
        <v>43403</v>
      </c>
      <c r="G213" s="78">
        <v>33.200001</v>
      </c>
      <c r="H213" s="79">
        <f t="shared" si="7"/>
        <v>1.4669926202019273E-2</v>
      </c>
    </row>
    <row r="214" spans="2:8">
      <c r="B214" s="76">
        <v>43404</v>
      </c>
      <c r="C214" s="77">
        <v>12.38</v>
      </c>
      <c r="D214" s="79">
        <f t="shared" si="6"/>
        <v>-1.5115354017501949E-2</v>
      </c>
      <c r="F214" s="76">
        <v>43404</v>
      </c>
      <c r="G214" s="78">
        <v>33.549999</v>
      </c>
      <c r="H214" s="79">
        <f t="shared" si="7"/>
        <v>1.0542108116201543E-2</v>
      </c>
    </row>
    <row r="215" spans="2:8">
      <c r="B215" s="76">
        <v>43405</v>
      </c>
      <c r="C215" s="77">
        <v>13.08</v>
      </c>
      <c r="D215" s="79">
        <f t="shared" si="6"/>
        <v>5.6542810985460358E-2</v>
      </c>
      <c r="F215" s="76">
        <v>43405</v>
      </c>
      <c r="G215" s="78">
        <v>33.979999999999997</v>
      </c>
      <c r="H215" s="79">
        <f t="shared" si="7"/>
        <v>1.2816721693493856E-2</v>
      </c>
    </row>
    <row r="216" spans="2:8">
      <c r="B216" s="76">
        <v>43406</v>
      </c>
      <c r="C216" s="77">
        <v>14.58</v>
      </c>
      <c r="D216" s="79">
        <f t="shared" si="6"/>
        <v>0.1146788990825688</v>
      </c>
      <c r="F216" s="76">
        <v>43406</v>
      </c>
      <c r="G216" s="78">
        <v>33.810001</v>
      </c>
      <c r="H216" s="79">
        <f t="shared" si="7"/>
        <v>-5.0029134785166901E-3</v>
      </c>
    </row>
    <row r="217" spans="2:8">
      <c r="B217" s="76">
        <v>43409</v>
      </c>
      <c r="C217" s="77">
        <v>13.71</v>
      </c>
      <c r="D217" s="79">
        <f t="shared" si="6"/>
        <v>-5.9670781893004059E-2</v>
      </c>
      <c r="F217" s="76">
        <v>43409</v>
      </c>
      <c r="G217" s="78">
        <v>33.919998</v>
      </c>
      <c r="H217" s="79">
        <f t="shared" si="7"/>
        <v>3.253386475794541E-3</v>
      </c>
    </row>
    <row r="218" spans="2:8">
      <c r="B218" s="76">
        <v>43410</v>
      </c>
      <c r="C218" s="77">
        <v>13.86</v>
      </c>
      <c r="D218" s="79">
        <f t="shared" si="6"/>
        <v>1.094091903719902E-2</v>
      </c>
      <c r="F218" s="76">
        <v>43410</v>
      </c>
      <c r="G218" s="78">
        <v>34.139999000000003</v>
      </c>
      <c r="H218" s="79">
        <f t="shared" si="7"/>
        <v>6.485878920158057E-3</v>
      </c>
    </row>
    <row r="219" spans="2:8">
      <c r="B219" s="76">
        <v>43411</v>
      </c>
      <c r="C219" s="77">
        <v>13.61</v>
      </c>
      <c r="D219" s="79">
        <f t="shared" si="6"/>
        <v>-1.803751803751804E-2</v>
      </c>
      <c r="F219" s="76">
        <v>43411</v>
      </c>
      <c r="G219" s="78">
        <v>34.830002</v>
      </c>
      <c r="H219" s="79">
        <f t="shared" si="7"/>
        <v>2.0210984774779787E-2</v>
      </c>
    </row>
    <row r="220" spans="2:8">
      <c r="B220" s="76">
        <v>43412</v>
      </c>
      <c r="C220" s="77">
        <v>13.06</v>
      </c>
      <c r="D220" s="79">
        <f t="shared" si="6"/>
        <v>-4.0411462160176263E-2</v>
      </c>
      <c r="F220" s="76">
        <v>43412</v>
      </c>
      <c r="G220" s="78">
        <v>34.779998999999997</v>
      </c>
      <c r="H220" s="79">
        <f t="shared" si="7"/>
        <v>-1.4356301214109547E-3</v>
      </c>
    </row>
    <row r="221" spans="2:8">
      <c r="B221" s="76">
        <v>43413</v>
      </c>
      <c r="C221" s="77">
        <v>12.83</v>
      </c>
      <c r="D221" s="79">
        <f t="shared" si="6"/>
        <v>-1.7611026033690691E-2</v>
      </c>
      <c r="F221" s="76">
        <v>43413</v>
      </c>
      <c r="G221" s="78">
        <v>34.419998</v>
      </c>
      <c r="H221" s="79">
        <f t="shared" si="7"/>
        <v>-1.0350805357987415E-2</v>
      </c>
    </row>
    <row r="222" spans="2:8">
      <c r="B222" s="76">
        <v>43416</v>
      </c>
      <c r="C222" s="77">
        <v>12.63</v>
      </c>
      <c r="D222" s="79">
        <f t="shared" si="6"/>
        <v>-1.5588464536243124E-2</v>
      </c>
      <c r="F222" s="76">
        <v>43416</v>
      </c>
      <c r="G222" s="78">
        <v>33.75</v>
      </c>
      <c r="H222" s="79">
        <f t="shared" si="7"/>
        <v>-1.9465370102578147E-2</v>
      </c>
    </row>
    <row r="223" spans="2:8">
      <c r="B223" s="76">
        <v>43417</v>
      </c>
      <c r="C223" s="77">
        <v>13.03</v>
      </c>
      <c r="D223" s="79">
        <f t="shared" si="6"/>
        <v>3.1670625494853409E-2</v>
      </c>
      <c r="F223" s="76">
        <v>43417</v>
      </c>
      <c r="G223" s="78">
        <v>33.689999</v>
      </c>
      <c r="H223" s="79">
        <f t="shared" si="7"/>
        <v>-1.7778074074073999E-3</v>
      </c>
    </row>
    <row r="224" spans="2:8">
      <c r="B224" s="76">
        <v>43418</v>
      </c>
      <c r="C224" s="77">
        <v>12.85</v>
      </c>
      <c r="D224" s="79">
        <f t="shared" si="6"/>
        <v>-1.3814274750575574E-2</v>
      </c>
      <c r="F224" s="76">
        <v>43418</v>
      </c>
      <c r="G224" s="78">
        <v>33.419998</v>
      </c>
      <c r="H224" s="79">
        <f t="shared" si="7"/>
        <v>-8.0142774714834688E-3</v>
      </c>
    </row>
    <row r="225" spans="2:8">
      <c r="B225" s="76">
        <v>43419</v>
      </c>
      <c r="C225" s="77">
        <v>12.38</v>
      </c>
      <c r="D225" s="79">
        <f t="shared" si="6"/>
        <v>-3.6575875486381235E-2</v>
      </c>
      <c r="F225" s="76">
        <v>43419</v>
      </c>
      <c r="G225" s="78">
        <v>33.830002</v>
      </c>
      <c r="H225" s="79">
        <f t="shared" si="7"/>
        <v>1.2268223355369461E-2</v>
      </c>
    </row>
    <row r="226" spans="2:8">
      <c r="B226" s="76">
        <v>43420</v>
      </c>
      <c r="C226" s="77">
        <v>12.43</v>
      </c>
      <c r="D226" s="79">
        <f t="shared" si="6"/>
        <v>4.0387722132470862E-3</v>
      </c>
      <c r="F226" s="76">
        <v>43420</v>
      </c>
      <c r="G226" s="78">
        <v>33.900002000000001</v>
      </c>
      <c r="H226" s="79">
        <f t="shared" si="7"/>
        <v>2.0691692539657634E-3</v>
      </c>
    </row>
    <row r="227" spans="2:8">
      <c r="B227" s="76">
        <v>43423</v>
      </c>
      <c r="C227" s="77">
        <v>12.55</v>
      </c>
      <c r="D227" s="79">
        <f t="shared" si="6"/>
        <v>9.6540627514079651E-3</v>
      </c>
      <c r="F227" s="76">
        <v>43423</v>
      </c>
      <c r="G227" s="78">
        <v>33.290000999999997</v>
      </c>
      <c r="H227" s="79">
        <f t="shared" si="7"/>
        <v>-1.7994128731909927E-2</v>
      </c>
    </row>
    <row r="228" spans="2:8">
      <c r="B228" s="76">
        <v>43424</v>
      </c>
      <c r="C228" s="77">
        <v>12.51</v>
      </c>
      <c r="D228" s="79">
        <f t="shared" si="6"/>
        <v>-3.1872509960160097E-3</v>
      </c>
      <c r="F228" s="76">
        <v>43424</v>
      </c>
      <c r="G228" s="78">
        <v>32.669998</v>
      </c>
      <c r="H228" s="79">
        <f t="shared" si="7"/>
        <v>-1.8624301032613276E-2</v>
      </c>
    </row>
    <row r="229" spans="2:8">
      <c r="B229" s="76">
        <v>43425</v>
      </c>
      <c r="C229" s="77">
        <v>12.88</v>
      </c>
      <c r="D229" s="79">
        <f t="shared" si="6"/>
        <v>2.9576338928856995E-2</v>
      </c>
      <c r="F229" s="76">
        <v>43425</v>
      </c>
      <c r="G229" s="78">
        <v>32.82</v>
      </c>
      <c r="H229" s="79">
        <f t="shared" si="7"/>
        <v>4.5914297270541809E-3</v>
      </c>
    </row>
    <row r="230" spans="2:8">
      <c r="B230" s="76">
        <v>43427</v>
      </c>
      <c r="C230" s="77">
        <v>12.92</v>
      </c>
      <c r="D230" s="79">
        <f t="shared" si="6"/>
        <v>3.1055900621117347E-3</v>
      </c>
      <c r="F230" s="76">
        <v>43427</v>
      </c>
      <c r="G230" s="78">
        <v>32.659999999999997</v>
      </c>
      <c r="H230" s="79">
        <f t="shared" si="7"/>
        <v>-4.8750761730653163E-3</v>
      </c>
    </row>
    <row r="231" spans="2:8">
      <c r="B231" s="76">
        <v>43430</v>
      </c>
      <c r="C231" s="77">
        <v>12.9</v>
      </c>
      <c r="D231" s="79">
        <f t="shared" si="6"/>
        <v>-1.5479876160990381E-3</v>
      </c>
      <c r="F231" s="76">
        <v>43430</v>
      </c>
      <c r="G231" s="78">
        <v>33.169998</v>
      </c>
      <c r="H231" s="79">
        <f t="shared" si="7"/>
        <v>1.5615370483772293E-2</v>
      </c>
    </row>
    <row r="232" spans="2:8">
      <c r="B232" s="76">
        <v>43431</v>
      </c>
      <c r="C232" s="77">
        <v>13.02</v>
      </c>
      <c r="D232" s="79">
        <f t="shared" si="6"/>
        <v>9.302325581395288E-3</v>
      </c>
      <c r="F232" s="76">
        <v>43431</v>
      </c>
      <c r="G232" s="78">
        <v>33.18</v>
      </c>
      <c r="H232" s="79">
        <f t="shared" si="7"/>
        <v>3.0153755209753305E-4</v>
      </c>
    </row>
    <row r="233" spans="2:8">
      <c r="B233" s="76">
        <v>43432</v>
      </c>
      <c r="C233" s="77">
        <v>13.45</v>
      </c>
      <c r="D233" s="79">
        <f t="shared" si="6"/>
        <v>3.3026113671274941E-2</v>
      </c>
      <c r="F233" s="76">
        <v>43432</v>
      </c>
      <c r="G233" s="78">
        <v>34.009998000000003</v>
      </c>
      <c r="H233" s="79">
        <f t="shared" si="7"/>
        <v>2.5015009041591423E-2</v>
      </c>
    </row>
    <row r="234" spans="2:8">
      <c r="B234" s="76">
        <v>43433</v>
      </c>
      <c r="C234" s="77">
        <v>13.39</v>
      </c>
      <c r="D234" s="79">
        <f t="shared" si="6"/>
        <v>-4.4609665427508341E-3</v>
      </c>
      <c r="F234" s="76">
        <v>43433</v>
      </c>
      <c r="G234" s="78">
        <v>33.919998</v>
      </c>
      <c r="H234" s="79">
        <f t="shared" si="7"/>
        <v>-2.6462806613515061E-3</v>
      </c>
    </row>
    <row r="235" spans="2:8">
      <c r="B235" s="76">
        <v>43434</v>
      </c>
      <c r="C235" s="77">
        <v>13.53</v>
      </c>
      <c r="D235" s="79">
        <f t="shared" si="6"/>
        <v>1.0455563853622016E-2</v>
      </c>
      <c r="F235" s="76">
        <v>43434</v>
      </c>
      <c r="G235" s="78">
        <v>34.040000999999997</v>
      </c>
      <c r="H235" s="79">
        <f t="shared" si="7"/>
        <v>3.5378245010508837E-3</v>
      </c>
    </row>
    <row r="236" spans="2:8">
      <c r="B236" s="76">
        <v>43437</v>
      </c>
      <c r="C236" s="77">
        <v>14.28</v>
      </c>
      <c r="D236" s="79">
        <f t="shared" si="6"/>
        <v>5.543237250554324E-2</v>
      </c>
      <c r="F236" s="76">
        <v>43437</v>
      </c>
      <c r="G236" s="78">
        <v>34.580002</v>
      </c>
      <c r="H236" s="79">
        <f t="shared" si="7"/>
        <v>1.5863718687904968E-2</v>
      </c>
    </row>
    <row r="237" spans="2:8">
      <c r="B237" s="76">
        <v>43438</v>
      </c>
      <c r="C237" s="77">
        <v>12.25</v>
      </c>
      <c r="D237" s="79">
        <f t="shared" si="6"/>
        <v>-0.14215686274509801</v>
      </c>
      <c r="F237" s="76">
        <v>43438</v>
      </c>
      <c r="G237" s="78">
        <v>33.479999999999997</v>
      </c>
      <c r="H237" s="79">
        <f t="shared" si="7"/>
        <v>-3.1810350965277664E-2</v>
      </c>
    </row>
    <row r="238" spans="2:8">
      <c r="B238" s="76">
        <v>43440</v>
      </c>
      <c r="C238" s="77">
        <v>12.5</v>
      </c>
      <c r="D238" s="79">
        <f t="shared" si="6"/>
        <v>2.0408163265306121E-2</v>
      </c>
      <c r="F238" s="76">
        <v>43440</v>
      </c>
      <c r="G238" s="78">
        <v>33.43</v>
      </c>
      <c r="H238" s="79">
        <f t="shared" si="7"/>
        <v>-1.4934289127836668E-3</v>
      </c>
    </row>
    <row r="239" spans="2:8">
      <c r="B239" s="76">
        <v>43441</v>
      </c>
      <c r="C239" s="77">
        <v>12.04</v>
      </c>
      <c r="D239" s="79">
        <f t="shared" si="6"/>
        <v>-3.6800000000000069E-2</v>
      </c>
      <c r="F239" s="76">
        <v>43441</v>
      </c>
      <c r="G239" s="78">
        <v>32.650002000000001</v>
      </c>
      <c r="H239" s="79">
        <f t="shared" si="7"/>
        <v>-2.3332276398444485E-2</v>
      </c>
    </row>
    <row r="240" spans="2:8">
      <c r="B240" s="76">
        <v>43444</v>
      </c>
      <c r="C240" s="77">
        <v>11.57</v>
      </c>
      <c r="D240" s="79">
        <f t="shared" si="6"/>
        <v>-3.9036544850498248E-2</v>
      </c>
      <c r="F240" s="76">
        <v>43444</v>
      </c>
      <c r="G240" s="78">
        <v>32.68</v>
      </c>
      <c r="H240" s="79">
        <f t="shared" si="7"/>
        <v>9.1877482886521965E-4</v>
      </c>
    </row>
    <row r="241" spans="2:8">
      <c r="B241" s="76">
        <v>43445</v>
      </c>
      <c r="C241" s="77">
        <v>11.41</v>
      </c>
      <c r="D241" s="79">
        <f t="shared" si="6"/>
        <v>-1.3828867761452044E-2</v>
      </c>
      <c r="F241" s="76">
        <v>43445</v>
      </c>
      <c r="G241" s="78">
        <v>32.659999999999997</v>
      </c>
      <c r="H241" s="79">
        <f t="shared" si="7"/>
        <v>-6.1199510403926337E-4</v>
      </c>
    </row>
    <row r="242" spans="2:8">
      <c r="B242" s="76">
        <v>43446</v>
      </c>
      <c r="C242" s="77">
        <v>11.33</v>
      </c>
      <c r="D242" s="79">
        <f t="shared" si="6"/>
        <v>-7.0113935144610054E-3</v>
      </c>
      <c r="F242" s="76">
        <v>43446</v>
      </c>
      <c r="G242" s="78">
        <v>32.869999</v>
      </c>
      <c r="H242" s="79">
        <f t="shared" si="7"/>
        <v>6.4298530312309676E-3</v>
      </c>
    </row>
    <row r="243" spans="2:8">
      <c r="B243" s="76">
        <v>43447</v>
      </c>
      <c r="C243" s="77">
        <v>11.16</v>
      </c>
      <c r="D243" s="79">
        <f t="shared" si="6"/>
        <v>-1.5004413062665483E-2</v>
      </c>
      <c r="F243" s="76">
        <v>43447</v>
      </c>
      <c r="G243" s="78">
        <v>32.810001</v>
      </c>
      <c r="H243" s="79">
        <f t="shared" si="7"/>
        <v>-1.8253118900307913E-3</v>
      </c>
    </row>
    <row r="244" spans="2:8">
      <c r="B244" s="76">
        <v>43448</v>
      </c>
      <c r="C244" s="77">
        <v>10.98</v>
      </c>
      <c r="D244" s="79">
        <f t="shared" si="6"/>
        <v>-1.6129032258064491E-2</v>
      </c>
      <c r="F244" s="76">
        <v>43448</v>
      </c>
      <c r="G244" s="78">
        <v>32.189999</v>
      </c>
      <c r="H244" s="79">
        <f t="shared" si="7"/>
        <v>-1.8896738223202113E-2</v>
      </c>
    </row>
    <row r="245" spans="2:8">
      <c r="B245" s="76">
        <v>43451</v>
      </c>
      <c r="C245" s="77">
        <v>10.88</v>
      </c>
      <c r="D245" s="79">
        <f t="shared" si="6"/>
        <v>-9.1074681238615344E-3</v>
      </c>
      <c r="F245" s="76">
        <v>43451</v>
      </c>
      <c r="G245" s="78">
        <v>31.459999</v>
      </c>
      <c r="H245" s="79">
        <f t="shared" si="7"/>
        <v>-2.267785096855705E-2</v>
      </c>
    </row>
    <row r="246" spans="2:8">
      <c r="B246" s="76">
        <v>43452</v>
      </c>
      <c r="C246" s="77">
        <v>11.4</v>
      </c>
      <c r="D246" s="79">
        <f t="shared" si="6"/>
        <v>4.7794117647058779E-2</v>
      </c>
      <c r="F246" s="76">
        <v>43452</v>
      </c>
      <c r="G246" s="78">
        <v>31.5</v>
      </c>
      <c r="H246" s="79">
        <f t="shared" si="7"/>
        <v>1.2714876437217998E-3</v>
      </c>
    </row>
    <row r="247" spans="2:8">
      <c r="B247" s="76">
        <v>43453</v>
      </c>
      <c r="C247" s="77">
        <v>11.36</v>
      </c>
      <c r="D247" s="79">
        <f t="shared" si="6"/>
        <v>-3.5087719298246421E-3</v>
      </c>
      <c r="F247" s="76">
        <v>43453</v>
      </c>
      <c r="G247" s="78">
        <v>31.01</v>
      </c>
      <c r="H247" s="79">
        <f t="shared" si="7"/>
        <v>-1.5555555555555507E-2</v>
      </c>
    </row>
    <row r="248" spans="2:8">
      <c r="B248" s="76">
        <v>43454</v>
      </c>
      <c r="C248" s="77">
        <v>10.97</v>
      </c>
      <c r="D248" s="79">
        <f t="shared" si="6"/>
        <v>-3.4330985915492856E-2</v>
      </c>
      <c r="F248" s="76">
        <v>43454</v>
      </c>
      <c r="G248" s="78">
        <v>30.52</v>
      </c>
      <c r="H248" s="79">
        <f t="shared" si="7"/>
        <v>-1.5801354401805932E-2</v>
      </c>
    </row>
    <row r="249" spans="2:8">
      <c r="B249" s="76">
        <v>43455</v>
      </c>
      <c r="C249" s="77">
        <v>10.74</v>
      </c>
      <c r="D249" s="79">
        <f t="shared" si="6"/>
        <v>-2.096627164995446E-2</v>
      </c>
      <c r="F249" s="76">
        <v>43455</v>
      </c>
      <c r="G249" s="78">
        <v>29.67</v>
      </c>
      <c r="H249" s="79">
        <f t="shared" si="7"/>
        <v>-2.7850589777195213E-2</v>
      </c>
    </row>
    <row r="250" spans="2:8">
      <c r="B250" s="76">
        <v>43458</v>
      </c>
      <c r="C250" s="77">
        <v>10.23</v>
      </c>
      <c r="D250" s="79">
        <f t="shared" si="6"/>
        <v>-4.748603351955305E-2</v>
      </c>
      <c r="F250" s="76">
        <v>43458</v>
      </c>
      <c r="G250" s="78">
        <v>28.9</v>
      </c>
      <c r="H250" s="79">
        <f t="shared" si="7"/>
        <v>-2.5952140208965389E-2</v>
      </c>
    </row>
    <row r="251" spans="2:8">
      <c r="B251" s="76">
        <v>43460</v>
      </c>
      <c r="C251" s="77">
        <v>10.8</v>
      </c>
      <c r="D251" s="79">
        <f t="shared" si="6"/>
        <v>5.571847507331381E-2</v>
      </c>
      <c r="F251" s="76">
        <v>43460</v>
      </c>
      <c r="G251" s="78">
        <v>30.34</v>
      </c>
      <c r="H251" s="79">
        <f t="shared" si="7"/>
        <v>4.9826989619377211E-2</v>
      </c>
    </row>
    <row r="252" spans="2:8">
      <c r="B252" s="76">
        <v>43461</v>
      </c>
      <c r="C252" s="77">
        <v>10.92</v>
      </c>
      <c r="D252" s="79">
        <f t="shared" si="6"/>
        <v>1.1111111111111039E-2</v>
      </c>
      <c r="F252" s="76">
        <v>43461</v>
      </c>
      <c r="G252" s="78">
        <v>30.610001</v>
      </c>
      <c r="H252" s="79">
        <f t="shared" si="7"/>
        <v>8.8991760052735853E-3</v>
      </c>
    </row>
    <row r="253" spans="2:8">
      <c r="B253" s="76">
        <v>43462</v>
      </c>
      <c r="C253" s="77">
        <v>10.94</v>
      </c>
      <c r="D253" s="79">
        <f t="shared" si="6"/>
        <v>1.8315018315017925E-3</v>
      </c>
      <c r="F253" s="76">
        <v>43462</v>
      </c>
      <c r="G253" s="78">
        <v>30.58</v>
      </c>
      <c r="H253" s="79">
        <f t="shared" si="7"/>
        <v>-9.8010450898064873E-4</v>
      </c>
    </row>
    <row r="254" spans="2:8">
      <c r="B254" s="76">
        <v>43465</v>
      </c>
      <c r="C254" s="77">
        <v>10.91</v>
      </c>
      <c r="D254" s="79">
        <f t="shared" si="6"/>
        <v>-2.7422303473491191E-3</v>
      </c>
      <c r="F254" s="76">
        <v>43465</v>
      </c>
      <c r="G254" s="78">
        <v>30.91</v>
      </c>
      <c r="H254" s="79">
        <f t="shared" si="7"/>
        <v>1.0791366906474881E-2</v>
      </c>
    </row>
    <row r="255" spans="2:8">
      <c r="B255" s="76">
        <v>43467</v>
      </c>
      <c r="C255" s="77">
        <v>11.51</v>
      </c>
      <c r="D255" s="79">
        <f t="shared" si="6"/>
        <v>5.499541704857925E-2</v>
      </c>
      <c r="F255" s="76">
        <v>43467</v>
      </c>
      <c r="G255" s="78">
        <v>30.91</v>
      </c>
      <c r="H255" s="79">
        <f t="shared" si="7"/>
        <v>0</v>
      </c>
    </row>
    <row r="256" spans="2:8">
      <c r="B256" s="76">
        <v>43468</v>
      </c>
      <c r="C256" s="77">
        <v>11.48</v>
      </c>
      <c r="D256" s="79">
        <f t="shared" si="6"/>
        <v>-2.6064291920068951E-3</v>
      </c>
      <c r="F256" s="76">
        <v>43468</v>
      </c>
      <c r="G256" s="78">
        <v>30.18</v>
      </c>
      <c r="H256" s="79">
        <f t="shared" si="7"/>
        <v>-2.3616952442575233E-2</v>
      </c>
    </row>
    <row r="257" spans="2:8">
      <c r="B257" s="76">
        <v>43469</v>
      </c>
      <c r="C257" s="77">
        <v>12.1</v>
      </c>
      <c r="D257" s="79">
        <f t="shared" si="6"/>
        <v>5.4006968641114914E-2</v>
      </c>
      <c r="F257" s="76">
        <v>43469</v>
      </c>
      <c r="G257" s="78">
        <v>31.23</v>
      </c>
      <c r="H257" s="79">
        <f t="shared" si="7"/>
        <v>3.4791252485089484E-2</v>
      </c>
    </row>
    <row r="258" spans="2:8">
      <c r="B258" s="76">
        <v>43472</v>
      </c>
      <c r="C258" s="77">
        <v>12.5</v>
      </c>
      <c r="D258" s="79">
        <f t="shared" si="6"/>
        <v>3.305785123966945E-2</v>
      </c>
      <c r="F258" s="76">
        <v>43472</v>
      </c>
      <c r="G258" s="78">
        <v>31.530000999999999</v>
      </c>
      <c r="H258" s="79">
        <f t="shared" si="7"/>
        <v>9.6061799551712523E-3</v>
      </c>
    </row>
    <row r="259" spans="2:8">
      <c r="B259" s="76">
        <v>43473</v>
      </c>
      <c r="C259" s="77">
        <v>12.59</v>
      </c>
      <c r="D259" s="79">
        <f t="shared" si="6"/>
        <v>7.1999999999999885E-3</v>
      </c>
      <c r="F259" s="76">
        <v>43473</v>
      </c>
      <c r="G259" s="78">
        <v>31.870000999999998</v>
      </c>
      <c r="H259" s="79">
        <f t="shared" si="7"/>
        <v>1.0783380565068801E-2</v>
      </c>
    </row>
    <row r="260" spans="2:8">
      <c r="B260" s="76">
        <v>43474</v>
      </c>
      <c r="C260" s="77">
        <v>12.93</v>
      </c>
      <c r="D260" s="79">
        <f t="shared" si="6"/>
        <v>2.7005559968228742E-2</v>
      </c>
      <c r="F260" s="76">
        <v>43474</v>
      </c>
      <c r="G260" s="78">
        <v>32.049999</v>
      </c>
      <c r="H260" s="79">
        <f t="shared" si="7"/>
        <v>5.6478818434929209E-3</v>
      </c>
    </row>
    <row r="261" spans="2:8">
      <c r="B261" s="76">
        <v>43475</v>
      </c>
      <c r="C261" s="77">
        <v>12.4</v>
      </c>
      <c r="D261" s="79">
        <f t="shared" si="6"/>
        <v>-4.0989945862335606E-2</v>
      </c>
      <c r="F261" s="76">
        <v>43475</v>
      </c>
      <c r="G261" s="78">
        <v>32.169998</v>
      </c>
      <c r="H261" s="79">
        <f t="shared" si="7"/>
        <v>3.7441186815637645E-3</v>
      </c>
    </row>
    <row r="262" spans="2:8">
      <c r="B262" s="76">
        <v>43476</v>
      </c>
      <c r="C262" s="77">
        <v>12.42</v>
      </c>
      <c r="D262" s="79">
        <f t="shared" ref="D262:D325" si="8">(C262-C261)/C261</f>
        <v>1.6129032258064171E-3</v>
      </c>
      <c r="F262" s="76">
        <v>43476</v>
      </c>
      <c r="G262" s="78">
        <v>32.18</v>
      </c>
      <c r="H262" s="79">
        <f t="shared" ref="H262:H325" si="9">(G262-G261)/G261</f>
        <v>3.1091080577624116E-4</v>
      </c>
    </row>
    <row r="263" spans="2:8">
      <c r="B263" s="76">
        <v>43479</v>
      </c>
      <c r="C263" s="77">
        <v>12.4</v>
      </c>
      <c r="D263" s="79">
        <f t="shared" si="8"/>
        <v>-1.6103059581320108E-3</v>
      </c>
      <c r="F263" s="76">
        <v>43479</v>
      </c>
      <c r="G263" s="78">
        <v>32</v>
      </c>
      <c r="H263" s="79">
        <f t="shared" si="9"/>
        <v>-5.5935363579863182E-3</v>
      </c>
    </row>
    <row r="264" spans="2:8">
      <c r="B264" s="76">
        <v>43480</v>
      </c>
      <c r="C264" s="77">
        <v>12.21</v>
      </c>
      <c r="D264" s="79">
        <f t="shared" si="8"/>
        <v>-1.532258064516125E-2</v>
      </c>
      <c r="F264" s="76">
        <v>43480</v>
      </c>
      <c r="G264" s="78">
        <v>32.340000000000003</v>
      </c>
      <c r="H264" s="79">
        <f t="shared" si="9"/>
        <v>1.0625000000000107E-2</v>
      </c>
    </row>
    <row r="265" spans="2:8">
      <c r="B265" s="76">
        <v>43481</v>
      </c>
      <c r="C265" s="77">
        <v>12.15</v>
      </c>
      <c r="D265" s="79">
        <f t="shared" si="8"/>
        <v>-4.9140049140049546E-3</v>
      </c>
      <c r="F265" s="76">
        <v>43481</v>
      </c>
      <c r="G265" s="78">
        <v>32.439999</v>
      </c>
      <c r="H265" s="79">
        <f t="shared" si="9"/>
        <v>3.0921150278292154E-3</v>
      </c>
    </row>
    <row r="266" spans="2:8">
      <c r="B266" s="76">
        <v>43482</v>
      </c>
      <c r="C266" s="77">
        <v>12.5</v>
      </c>
      <c r="D266" s="79">
        <f t="shared" si="8"/>
        <v>2.8806584362139887E-2</v>
      </c>
      <c r="F266" s="76">
        <v>43482</v>
      </c>
      <c r="G266" s="78">
        <v>32.720001000000003</v>
      </c>
      <c r="H266" s="79">
        <f t="shared" si="9"/>
        <v>8.6313812771696818E-3</v>
      </c>
    </row>
    <row r="267" spans="2:8">
      <c r="B267" s="76">
        <v>43483</v>
      </c>
      <c r="C267" s="77">
        <v>12.52</v>
      </c>
      <c r="D267" s="79">
        <f t="shared" si="8"/>
        <v>1.5999999999999658E-3</v>
      </c>
      <c r="F267" s="76">
        <v>43483</v>
      </c>
      <c r="G267" s="78">
        <v>33.119999</v>
      </c>
      <c r="H267" s="79">
        <f t="shared" si="9"/>
        <v>1.2224877376990193E-2</v>
      </c>
    </row>
    <row r="268" spans="2:8">
      <c r="B268" s="76">
        <v>43487</v>
      </c>
      <c r="C268" s="77">
        <v>12.37</v>
      </c>
      <c r="D268" s="79">
        <f t="shared" si="8"/>
        <v>-1.1980830670926547E-2</v>
      </c>
      <c r="F268" s="76">
        <v>43487</v>
      </c>
      <c r="G268" s="78">
        <v>32.68</v>
      </c>
      <c r="H268" s="79">
        <f t="shared" si="9"/>
        <v>-1.3284994362469644E-2</v>
      </c>
    </row>
    <row r="269" spans="2:8">
      <c r="B269" s="76">
        <v>43488</v>
      </c>
      <c r="C269" s="77">
        <v>12.1</v>
      </c>
      <c r="D269" s="79">
        <f t="shared" si="8"/>
        <v>-2.1827000808407403E-2</v>
      </c>
      <c r="F269" s="76">
        <v>43488</v>
      </c>
      <c r="G269" s="78">
        <v>32.720001000000003</v>
      </c>
      <c r="H269" s="79">
        <f t="shared" si="9"/>
        <v>1.2240208078336515E-3</v>
      </c>
    </row>
    <row r="270" spans="2:8">
      <c r="B270" s="76">
        <v>43489</v>
      </c>
      <c r="C270" s="77">
        <v>12.6</v>
      </c>
      <c r="D270" s="79">
        <f t="shared" si="8"/>
        <v>4.1322314049586778E-2</v>
      </c>
      <c r="F270" s="76">
        <v>43489</v>
      </c>
      <c r="G270" s="78">
        <v>32.790000999999997</v>
      </c>
      <c r="H270" s="79">
        <f t="shared" si="9"/>
        <v>2.1393642377942829E-3</v>
      </c>
    </row>
    <row r="271" spans="2:8">
      <c r="B271" s="76">
        <v>43490</v>
      </c>
      <c r="C271" s="77">
        <v>12.69</v>
      </c>
      <c r="D271" s="79">
        <f t="shared" si="8"/>
        <v>7.1428571428571314E-3</v>
      </c>
      <c r="F271" s="76">
        <v>43490</v>
      </c>
      <c r="G271" s="78">
        <v>33.099997999999999</v>
      </c>
      <c r="H271" s="79">
        <f t="shared" si="9"/>
        <v>9.4540100806951109E-3</v>
      </c>
    </row>
    <row r="272" spans="2:8">
      <c r="B272" s="76">
        <v>43493</v>
      </c>
      <c r="C272" s="77">
        <v>12.79</v>
      </c>
      <c r="D272" s="79">
        <f t="shared" si="8"/>
        <v>7.8802206461780645E-3</v>
      </c>
      <c r="F272" s="76">
        <v>43493</v>
      </c>
      <c r="G272" s="78">
        <v>32.889999000000003</v>
      </c>
      <c r="H272" s="79">
        <f t="shared" si="9"/>
        <v>-6.3443810479987426E-3</v>
      </c>
    </row>
    <row r="273" spans="2:8">
      <c r="B273" s="76">
        <v>43494</v>
      </c>
      <c r="C273" s="77">
        <v>12.79</v>
      </c>
      <c r="D273" s="79">
        <f t="shared" si="8"/>
        <v>0</v>
      </c>
      <c r="F273" s="76">
        <v>43494</v>
      </c>
      <c r="G273" s="78">
        <v>32.830002</v>
      </c>
      <c r="H273" s="79">
        <f t="shared" si="9"/>
        <v>-1.8241715361561044E-3</v>
      </c>
    </row>
    <row r="274" spans="2:8">
      <c r="B274" s="76">
        <v>43495</v>
      </c>
      <c r="C274" s="77">
        <v>12.98</v>
      </c>
      <c r="D274" s="79">
        <f t="shared" si="8"/>
        <v>1.4855355746677193E-2</v>
      </c>
      <c r="F274" s="76">
        <v>43495</v>
      </c>
      <c r="G274" s="78">
        <v>33.340000000000003</v>
      </c>
      <c r="H274" s="79">
        <f t="shared" si="9"/>
        <v>1.5534510171519425E-2</v>
      </c>
    </row>
    <row r="275" spans="2:8">
      <c r="B275" s="76">
        <v>43496</v>
      </c>
      <c r="C275" s="77">
        <v>13.22</v>
      </c>
      <c r="D275" s="79">
        <f t="shared" si="8"/>
        <v>1.8489984591679522E-2</v>
      </c>
      <c r="F275" s="76">
        <v>43496</v>
      </c>
      <c r="G275" s="78">
        <v>33.619999</v>
      </c>
      <c r="H275" s="79">
        <f t="shared" si="9"/>
        <v>8.3982903419315101E-3</v>
      </c>
    </row>
    <row r="276" spans="2:8">
      <c r="B276" s="76">
        <v>43497</v>
      </c>
      <c r="C276" s="77">
        <v>13.31</v>
      </c>
      <c r="D276" s="79">
        <f t="shared" si="8"/>
        <v>6.8078668683812299E-3</v>
      </c>
      <c r="F276" s="76">
        <v>43497</v>
      </c>
      <c r="G276" s="78">
        <v>33.650002000000001</v>
      </c>
      <c r="H276" s="79">
        <f t="shared" si="9"/>
        <v>8.9241525557453671E-4</v>
      </c>
    </row>
    <row r="277" spans="2:8">
      <c r="B277" s="76">
        <v>43500</v>
      </c>
      <c r="C277" s="77">
        <v>13.42</v>
      </c>
      <c r="D277" s="79">
        <f t="shared" si="8"/>
        <v>8.2644628099173122E-3</v>
      </c>
      <c r="F277" s="76">
        <v>43500</v>
      </c>
      <c r="G277" s="78">
        <v>33.909999999999997</v>
      </c>
      <c r="H277" s="79">
        <f t="shared" si="9"/>
        <v>7.726537430814891E-3</v>
      </c>
    </row>
    <row r="278" spans="2:8">
      <c r="B278" s="76">
        <v>43501</v>
      </c>
      <c r="C278" s="77">
        <v>13.52</v>
      </c>
      <c r="D278" s="79">
        <f t="shared" si="8"/>
        <v>7.4515648286139829E-3</v>
      </c>
      <c r="F278" s="76">
        <v>43501</v>
      </c>
      <c r="G278" s="78">
        <v>34.060001</v>
      </c>
      <c r="H278" s="79">
        <f t="shared" si="9"/>
        <v>4.4235033913300852E-3</v>
      </c>
    </row>
    <row r="279" spans="2:8">
      <c r="B279" s="76">
        <v>43502</v>
      </c>
      <c r="C279" s="77">
        <v>13.3</v>
      </c>
      <c r="D279" s="79">
        <f t="shared" si="8"/>
        <v>-1.6272189349112343E-2</v>
      </c>
      <c r="F279" s="76">
        <v>43502</v>
      </c>
      <c r="G279" s="78">
        <v>34.020000000000003</v>
      </c>
      <c r="H279" s="79">
        <f t="shared" si="9"/>
        <v>-1.1744274464347967E-3</v>
      </c>
    </row>
    <row r="280" spans="2:8">
      <c r="B280" s="76">
        <v>43503</v>
      </c>
      <c r="C280" s="77">
        <v>13.02</v>
      </c>
      <c r="D280" s="79">
        <f t="shared" si="8"/>
        <v>-2.1052631578947451E-2</v>
      </c>
      <c r="F280" s="76">
        <v>43503</v>
      </c>
      <c r="G280" s="78">
        <v>33.720001000000003</v>
      </c>
      <c r="H280" s="79">
        <f t="shared" si="9"/>
        <v>-8.8183127572016365E-3</v>
      </c>
    </row>
    <row r="281" spans="2:8">
      <c r="B281" s="76">
        <v>43504</v>
      </c>
      <c r="C281" s="77">
        <v>12.79</v>
      </c>
      <c r="D281" s="79">
        <f t="shared" si="8"/>
        <v>-1.7665130568356408E-2</v>
      </c>
      <c r="F281" s="76">
        <v>43504</v>
      </c>
      <c r="G281" s="78">
        <v>33.75</v>
      </c>
      <c r="H281" s="79">
        <f t="shared" si="9"/>
        <v>8.896500329284259E-4</v>
      </c>
    </row>
    <row r="282" spans="2:8">
      <c r="B282" s="76">
        <v>43507</v>
      </c>
      <c r="C282" s="77">
        <v>13.05</v>
      </c>
      <c r="D282" s="79">
        <f t="shared" si="8"/>
        <v>2.0328381548084563E-2</v>
      </c>
      <c r="F282" s="76">
        <v>43507</v>
      </c>
      <c r="G282" s="78">
        <v>33.810001</v>
      </c>
      <c r="H282" s="79">
        <f t="shared" si="9"/>
        <v>1.7778074074073999E-3</v>
      </c>
    </row>
    <row r="283" spans="2:8">
      <c r="B283" s="76">
        <v>43508</v>
      </c>
      <c r="C283" s="77">
        <v>13.59</v>
      </c>
      <c r="D283" s="79">
        <f t="shared" si="8"/>
        <v>4.1379310344827516E-2</v>
      </c>
      <c r="F283" s="76">
        <v>43508</v>
      </c>
      <c r="G283" s="78">
        <v>34.220001000000003</v>
      </c>
      <c r="H283" s="79">
        <f t="shared" si="9"/>
        <v>1.2126589407672708E-2</v>
      </c>
    </row>
    <row r="284" spans="2:8">
      <c r="B284" s="76">
        <v>43509</v>
      </c>
      <c r="C284" s="77">
        <v>13.56</v>
      </c>
      <c r="D284" s="79">
        <f t="shared" si="8"/>
        <v>-2.2075055187637501E-3</v>
      </c>
      <c r="F284" s="76">
        <v>43509</v>
      </c>
      <c r="G284" s="78">
        <v>34.330002</v>
      </c>
      <c r="H284" s="79">
        <f t="shared" si="9"/>
        <v>3.2145235764311315E-3</v>
      </c>
    </row>
    <row r="285" spans="2:8">
      <c r="B285" s="76">
        <v>43510</v>
      </c>
      <c r="C285" s="77">
        <v>13.52</v>
      </c>
      <c r="D285" s="79">
        <f t="shared" si="8"/>
        <v>-2.9498525073746993E-3</v>
      </c>
      <c r="F285" s="76">
        <v>43510</v>
      </c>
      <c r="G285" s="78">
        <v>34.270000000000003</v>
      </c>
      <c r="H285" s="79">
        <f t="shared" si="9"/>
        <v>-1.747800655531486E-3</v>
      </c>
    </row>
    <row r="286" spans="2:8">
      <c r="B286" s="76">
        <v>43511</v>
      </c>
      <c r="C286" s="77">
        <v>13.62</v>
      </c>
      <c r="D286" s="79">
        <f t="shared" si="8"/>
        <v>7.3964497041419854E-3</v>
      </c>
      <c r="F286" s="76">
        <v>43511</v>
      </c>
      <c r="G286" s="78">
        <v>34.669998</v>
      </c>
      <c r="H286" s="79">
        <f t="shared" si="9"/>
        <v>1.167195798074107E-2</v>
      </c>
    </row>
    <row r="287" spans="2:8">
      <c r="B287" s="76">
        <v>43515</v>
      </c>
      <c r="C287" s="77">
        <v>14.13</v>
      </c>
      <c r="D287" s="79">
        <f t="shared" si="8"/>
        <v>3.7444933920704963E-2</v>
      </c>
      <c r="F287" s="76">
        <v>43515</v>
      </c>
      <c r="G287" s="78">
        <v>34.729999999999997</v>
      </c>
      <c r="H287" s="79">
        <f t="shared" si="9"/>
        <v>1.7306606132482967E-3</v>
      </c>
    </row>
    <row r="288" spans="2:8">
      <c r="B288" s="76">
        <v>43516</v>
      </c>
      <c r="C288" s="77">
        <v>13.79</v>
      </c>
      <c r="D288" s="79">
        <f t="shared" si="8"/>
        <v>-2.4062278839349017E-2</v>
      </c>
      <c r="F288" s="76">
        <v>43516</v>
      </c>
      <c r="G288" s="78">
        <v>34.810001</v>
      </c>
      <c r="H288" s="79">
        <f t="shared" si="9"/>
        <v>2.303512813129942E-3</v>
      </c>
    </row>
    <row r="289" spans="2:8">
      <c r="B289" s="76">
        <v>43517</v>
      </c>
      <c r="C289" s="77">
        <v>13.85</v>
      </c>
      <c r="D289" s="79">
        <f t="shared" si="8"/>
        <v>4.3509789702683467E-3</v>
      </c>
      <c r="F289" s="76">
        <v>43517</v>
      </c>
      <c r="G289" s="78">
        <v>34.68</v>
      </c>
      <c r="H289" s="79">
        <f t="shared" si="9"/>
        <v>-3.7345876548524094E-3</v>
      </c>
    </row>
    <row r="290" spans="2:8">
      <c r="B290" s="76">
        <v>43518</v>
      </c>
      <c r="C290" s="77">
        <v>14.19</v>
      </c>
      <c r="D290" s="79">
        <f t="shared" si="8"/>
        <v>2.4548736462093854E-2</v>
      </c>
      <c r="F290" s="76">
        <v>43518</v>
      </c>
      <c r="G290" s="78">
        <v>34.889999000000003</v>
      </c>
      <c r="H290" s="79">
        <f t="shared" si="9"/>
        <v>6.0553344867359683E-3</v>
      </c>
    </row>
    <row r="291" spans="2:8">
      <c r="B291" s="76">
        <v>43521</v>
      </c>
      <c r="C291" s="77">
        <v>13.99</v>
      </c>
      <c r="D291" s="79">
        <f t="shared" si="8"/>
        <v>-1.4094432699083812E-2</v>
      </c>
      <c r="F291" s="76">
        <v>43521</v>
      </c>
      <c r="G291" s="78">
        <v>34.950001</v>
      </c>
      <c r="H291" s="79">
        <f t="shared" si="9"/>
        <v>1.719747828023647E-3</v>
      </c>
    </row>
    <row r="292" spans="2:8">
      <c r="B292" s="76">
        <v>43522</v>
      </c>
      <c r="C292" s="77">
        <v>13.97</v>
      </c>
      <c r="D292" s="79">
        <f t="shared" si="8"/>
        <v>-1.4295925661186256E-3</v>
      </c>
      <c r="F292" s="76">
        <v>43522</v>
      </c>
      <c r="G292" s="78">
        <v>34.909999999999997</v>
      </c>
      <c r="H292" s="79">
        <f t="shared" si="9"/>
        <v>-1.1445207111726184E-3</v>
      </c>
    </row>
    <row r="293" spans="2:8">
      <c r="B293" s="76">
        <v>43523</v>
      </c>
      <c r="C293" s="77">
        <v>13.73</v>
      </c>
      <c r="D293" s="79">
        <f t="shared" si="8"/>
        <v>-1.7179670722977824E-2</v>
      </c>
      <c r="F293" s="76">
        <v>43523</v>
      </c>
      <c r="G293" s="78">
        <v>34.909999999999997</v>
      </c>
      <c r="H293" s="79">
        <f t="shared" si="9"/>
        <v>0</v>
      </c>
    </row>
    <row r="294" spans="2:8">
      <c r="B294" s="76">
        <v>43524</v>
      </c>
      <c r="C294" s="77">
        <v>13.93</v>
      </c>
      <c r="D294" s="79">
        <f t="shared" si="8"/>
        <v>1.45666423889293E-2</v>
      </c>
      <c r="F294" s="76">
        <v>43524</v>
      </c>
      <c r="G294" s="78">
        <v>34.830002</v>
      </c>
      <c r="H294" s="79">
        <f t="shared" si="9"/>
        <v>-2.2915496992264753E-3</v>
      </c>
    </row>
    <row r="295" spans="2:8">
      <c r="B295" s="76">
        <v>43525</v>
      </c>
      <c r="C295" s="77">
        <v>14.03</v>
      </c>
      <c r="D295" s="79">
        <f t="shared" si="8"/>
        <v>7.1787508973438366E-3</v>
      </c>
      <c r="F295" s="76">
        <v>43525</v>
      </c>
      <c r="G295" s="78">
        <v>35.07</v>
      </c>
      <c r="H295" s="79">
        <f t="shared" si="9"/>
        <v>6.8905537243437402E-3</v>
      </c>
    </row>
    <row r="296" spans="2:8">
      <c r="B296" s="76">
        <v>43528</v>
      </c>
      <c r="C296" s="77">
        <v>14.57</v>
      </c>
      <c r="D296" s="79">
        <f t="shared" si="8"/>
        <v>3.8488952245188945E-2</v>
      </c>
      <c r="F296" s="76">
        <v>43528</v>
      </c>
      <c r="G296" s="78">
        <v>34.880001</v>
      </c>
      <c r="H296" s="79">
        <f t="shared" si="9"/>
        <v>-5.4177074422583479E-3</v>
      </c>
    </row>
    <row r="297" spans="2:8">
      <c r="B297" s="76">
        <v>43529</v>
      </c>
      <c r="C297" s="77">
        <v>13.81</v>
      </c>
      <c r="D297" s="79">
        <f t="shared" si="8"/>
        <v>-5.2161976664378842E-2</v>
      </c>
      <c r="F297" s="76">
        <v>43529</v>
      </c>
      <c r="G297" s="78">
        <v>34.840000000000003</v>
      </c>
      <c r="H297" s="79">
        <f t="shared" si="9"/>
        <v>-1.1468176276714162E-3</v>
      </c>
    </row>
    <row r="298" spans="2:8">
      <c r="B298" s="76">
        <v>43530</v>
      </c>
      <c r="C298" s="77">
        <v>13.52</v>
      </c>
      <c r="D298" s="79">
        <f t="shared" si="8"/>
        <v>-2.0999275887038444E-2</v>
      </c>
      <c r="F298" s="76">
        <v>43530</v>
      </c>
      <c r="G298" s="78">
        <v>34.57</v>
      </c>
      <c r="H298" s="79">
        <f t="shared" si="9"/>
        <v>-7.7497129735936594E-3</v>
      </c>
    </row>
    <row r="299" spans="2:8">
      <c r="B299" s="76">
        <v>43531</v>
      </c>
      <c r="C299" s="77">
        <v>13.46</v>
      </c>
      <c r="D299" s="79">
        <f t="shared" si="8"/>
        <v>-4.4378698224851127E-3</v>
      </c>
      <c r="F299" s="76">
        <v>43531</v>
      </c>
      <c r="G299" s="78">
        <v>34.279998999999997</v>
      </c>
      <c r="H299" s="79">
        <f t="shared" si="9"/>
        <v>-8.3888053225340976E-3</v>
      </c>
    </row>
    <row r="300" spans="2:8">
      <c r="B300" s="76">
        <v>43532</v>
      </c>
      <c r="C300" s="77">
        <v>13.64</v>
      </c>
      <c r="D300" s="79">
        <f t="shared" si="8"/>
        <v>1.3372956909361048E-2</v>
      </c>
      <c r="F300" s="76">
        <v>43532</v>
      </c>
      <c r="G300" s="78">
        <v>34.200001</v>
      </c>
      <c r="H300" s="79">
        <f t="shared" si="9"/>
        <v>-2.3336640120671021E-3</v>
      </c>
    </row>
    <row r="301" spans="2:8">
      <c r="B301" s="76">
        <v>43535</v>
      </c>
      <c r="C301" s="77">
        <v>13.79</v>
      </c>
      <c r="D301" s="79">
        <f t="shared" si="8"/>
        <v>1.0997067448680247E-2</v>
      </c>
      <c r="F301" s="76">
        <v>43535</v>
      </c>
      <c r="G301" s="78">
        <v>34.720001000000003</v>
      </c>
      <c r="H301" s="79">
        <f t="shared" si="9"/>
        <v>1.5204677917991965E-2</v>
      </c>
    </row>
    <row r="302" spans="2:8">
      <c r="B302" s="76">
        <v>43536</v>
      </c>
      <c r="C302" s="77">
        <v>13.79</v>
      </c>
      <c r="D302" s="79">
        <f t="shared" si="8"/>
        <v>0</v>
      </c>
      <c r="F302" s="76">
        <v>43536</v>
      </c>
      <c r="G302" s="78">
        <v>34.82</v>
      </c>
      <c r="H302" s="79">
        <f t="shared" si="9"/>
        <v>2.88015544700004E-3</v>
      </c>
    </row>
    <row r="303" spans="2:8">
      <c r="B303" s="76">
        <v>43537</v>
      </c>
      <c r="C303" s="77">
        <v>13.6</v>
      </c>
      <c r="D303" s="79">
        <f t="shared" si="8"/>
        <v>-1.3778100072516281E-2</v>
      </c>
      <c r="F303" s="76">
        <v>43537</v>
      </c>
      <c r="G303" s="78">
        <v>35.049999</v>
      </c>
      <c r="H303" s="79">
        <f t="shared" si="9"/>
        <v>6.6053704767374899E-3</v>
      </c>
    </row>
    <row r="304" spans="2:8">
      <c r="B304" s="76">
        <v>43538</v>
      </c>
      <c r="C304" s="77">
        <v>13.58</v>
      </c>
      <c r="D304" s="79">
        <f t="shared" si="8"/>
        <v>-1.4705882352940864E-3</v>
      </c>
      <c r="F304" s="76">
        <v>43538</v>
      </c>
      <c r="G304" s="78">
        <v>35.029998999999997</v>
      </c>
      <c r="H304" s="79">
        <f t="shared" si="9"/>
        <v>-5.7061342569519403E-4</v>
      </c>
    </row>
    <row r="305" spans="2:8">
      <c r="B305" s="76">
        <v>43539</v>
      </c>
      <c r="C305" s="77">
        <v>13.51</v>
      </c>
      <c r="D305" s="79">
        <f t="shared" si="8"/>
        <v>-5.1546391752577527E-3</v>
      </c>
      <c r="F305" s="76">
        <v>43539</v>
      </c>
      <c r="G305" s="78">
        <v>35.040000999999997</v>
      </c>
      <c r="H305" s="79">
        <f t="shared" si="9"/>
        <v>2.8552669955828622E-4</v>
      </c>
    </row>
    <row r="306" spans="2:8">
      <c r="B306" s="76">
        <v>43542</v>
      </c>
      <c r="C306" s="77">
        <v>13.67</v>
      </c>
      <c r="D306" s="79">
        <f t="shared" si="8"/>
        <v>1.1843079200592164E-2</v>
      </c>
      <c r="F306" s="76">
        <v>43542</v>
      </c>
      <c r="G306" s="78">
        <v>35.169998</v>
      </c>
      <c r="H306" s="79">
        <f t="shared" si="9"/>
        <v>3.7099599397843351E-3</v>
      </c>
    </row>
    <row r="307" spans="2:8">
      <c r="B307" s="76">
        <v>43543</v>
      </c>
      <c r="C307" s="77">
        <v>13.29</v>
      </c>
      <c r="D307" s="79">
        <f t="shared" si="8"/>
        <v>-2.7798098024872039E-2</v>
      </c>
      <c r="F307" s="76">
        <v>43543</v>
      </c>
      <c r="G307" s="78">
        <v>35.169998</v>
      </c>
      <c r="H307" s="79">
        <f t="shared" si="9"/>
        <v>0</v>
      </c>
    </row>
    <row r="308" spans="2:8">
      <c r="B308" s="76">
        <v>43544</v>
      </c>
      <c r="C308" s="77">
        <v>13.02</v>
      </c>
      <c r="D308" s="79">
        <f t="shared" si="8"/>
        <v>-2.0316027088036086E-2</v>
      </c>
      <c r="F308" s="76">
        <v>43544</v>
      </c>
      <c r="G308" s="78">
        <v>35.029998999999997</v>
      </c>
      <c r="H308" s="79">
        <f t="shared" si="9"/>
        <v>-3.9806371328199421E-3</v>
      </c>
    </row>
    <row r="309" spans="2:8">
      <c r="B309" s="76">
        <v>43545</v>
      </c>
      <c r="C309" s="77">
        <v>13.19</v>
      </c>
      <c r="D309" s="79">
        <f t="shared" si="8"/>
        <v>1.3056835637480793E-2</v>
      </c>
      <c r="F309" s="76">
        <v>43545</v>
      </c>
      <c r="G309" s="78">
        <v>35.450001</v>
      </c>
      <c r="H309" s="79">
        <f t="shared" si="9"/>
        <v>1.1989780530681825E-2</v>
      </c>
    </row>
    <row r="310" spans="2:8">
      <c r="B310" s="76">
        <v>43546</v>
      </c>
      <c r="C310" s="77">
        <v>12.55</v>
      </c>
      <c r="D310" s="79">
        <f t="shared" si="8"/>
        <v>-4.8521607278241001E-2</v>
      </c>
      <c r="F310" s="76">
        <v>43546</v>
      </c>
      <c r="G310" s="78">
        <v>34.68</v>
      </c>
      <c r="H310" s="79">
        <f t="shared" si="9"/>
        <v>-2.1720761023391807E-2</v>
      </c>
    </row>
    <row r="311" spans="2:8">
      <c r="B311" s="76">
        <v>43549</v>
      </c>
      <c r="C311" s="77">
        <v>12.77</v>
      </c>
      <c r="D311" s="79">
        <f t="shared" si="8"/>
        <v>1.7529880478087557E-2</v>
      </c>
      <c r="F311" s="76">
        <v>43549</v>
      </c>
      <c r="G311" s="78">
        <v>34.689999</v>
      </c>
      <c r="H311" s="79">
        <f t="shared" si="9"/>
        <v>2.8832179930797389E-4</v>
      </c>
    </row>
    <row r="312" spans="2:8">
      <c r="B312" s="76">
        <v>43550</v>
      </c>
      <c r="C312" s="77">
        <v>12.75</v>
      </c>
      <c r="D312" s="79">
        <f t="shared" si="8"/>
        <v>-1.5661707126076408E-3</v>
      </c>
      <c r="F312" s="76">
        <v>43550</v>
      </c>
      <c r="G312" s="78">
        <v>34.950001</v>
      </c>
      <c r="H312" s="79">
        <f t="shared" si="9"/>
        <v>7.4950131880949337E-3</v>
      </c>
    </row>
    <row r="313" spans="2:8">
      <c r="B313" s="76">
        <v>43551</v>
      </c>
      <c r="C313" s="77">
        <v>13.08</v>
      </c>
      <c r="D313" s="79">
        <f t="shared" si="8"/>
        <v>2.5882352941176478E-2</v>
      </c>
      <c r="F313" s="76">
        <v>43551</v>
      </c>
      <c r="G313" s="78">
        <v>34.770000000000003</v>
      </c>
      <c r="H313" s="79">
        <f t="shared" si="9"/>
        <v>-5.1502430572175715E-3</v>
      </c>
    </row>
    <row r="314" spans="2:8">
      <c r="B314" s="76">
        <v>43552</v>
      </c>
      <c r="C314" s="77">
        <v>13.18</v>
      </c>
      <c r="D314" s="79">
        <f t="shared" si="8"/>
        <v>7.6452599388378934E-3</v>
      </c>
      <c r="F314" s="76">
        <v>43552</v>
      </c>
      <c r="G314" s="78">
        <v>34.939999</v>
      </c>
      <c r="H314" s="79">
        <f t="shared" si="9"/>
        <v>4.8892436008052091E-3</v>
      </c>
    </row>
    <row r="315" spans="2:8">
      <c r="B315" s="76">
        <v>43553</v>
      </c>
      <c r="C315" s="77">
        <v>13.34</v>
      </c>
      <c r="D315" s="79">
        <f t="shared" si="8"/>
        <v>1.2139605462822469E-2</v>
      </c>
      <c r="F315" s="76">
        <v>43553</v>
      </c>
      <c r="G315" s="78">
        <v>35.18</v>
      </c>
      <c r="H315" s="79">
        <f t="shared" si="9"/>
        <v>6.8689469624770016E-3</v>
      </c>
    </row>
    <row r="316" spans="2:8">
      <c r="B316" s="76">
        <v>43556</v>
      </c>
      <c r="C316" s="77">
        <v>13.72</v>
      </c>
      <c r="D316" s="79">
        <f t="shared" si="8"/>
        <v>2.8485757121439338E-2</v>
      </c>
      <c r="F316" s="76">
        <v>43556</v>
      </c>
      <c r="G316" s="78">
        <v>35.590000000000003</v>
      </c>
      <c r="H316" s="79">
        <f t="shared" si="9"/>
        <v>1.1654349061967132E-2</v>
      </c>
    </row>
    <row r="317" spans="2:8">
      <c r="B317" s="76">
        <v>43557</v>
      </c>
      <c r="C317" s="77">
        <v>13.48</v>
      </c>
      <c r="D317" s="79">
        <f t="shared" si="8"/>
        <v>-1.7492711370262405E-2</v>
      </c>
      <c r="F317" s="76">
        <v>43557</v>
      </c>
      <c r="G317" s="78">
        <v>35.599997999999999</v>
      </c>
      <c r="H317" s="79">
        <f t="shared" si="9"/>
        <v>2.8092160719291807E-4</v>
      </c>
    </row>
    <row r="318" spans="2:8">
      <c r="B318" s="76">
        <v>43558</v>
      </c>
      <c r="C318" s="77">
        <v>13.63</v>
      </c>
      <c r="D318" s="79">
        <f t="shared" si="8"/>
        <v>1.1127596439169166E-2</v>
      </c>
      <c r="F318" s="76">
        <v>43558</v>
      </c>
      <c r="G318" s="78">
        <v>35.68</v>
      </c>
      <c r="H318" s="79">
        <f t="shared" si="9"/>
        <v>2.247247317261095E-3</v>
      </c>
    </row>
    <row r="319" spans="2:8">
      <c r="B319" s="76">
        <v>43559</v>
      </c>
      <c r="C319" s="77">
        <v>14.2</v>
      </c>
      <c r="D319" s="79">
        <f t="shared" si="8"/>
        <v>4.1819515774027767E-2</v>
      </c>
      <c r="F319" s="76">
        <v>43559</v>
      </c>
      <c r="G319" s="78">
        <v>35.75</v>
      </c>
      <c r="H319" s="79">
        <f t="shared" si="9"/>
        <v>1.9618834080717567E-3</v>
      </c>
    </row>
    <row r="320" spans="2:8">
      <c r="B320" s="76">
        <v>43560</v>
      </c>
      <c r="C320" s="77">
        <v>14.2</v>
      </c>
      <c r="D320" s="79">
        <f t="shared" si="8"/>
        <v>0</v>
      </c>
      <c r="F320" s="76">
        <v>43560</v>
      </c>
      <c r="G320" s="78">
        <v>35.939999</v>
      </c>
      <c r="H320" s="79">
        <f t="shared" si="9"/>
        <v>5.31465734265735E-3</v>
      </c>
    </row>
    <row r="321" spans="2:8">
      <c r="B321" s="76">
        <v>43563</v>
      </c>
      <c r="C321" s="77">
        <v>14.42</v>
      </c>
      <c r="D321" s="79">
        <f t="shared" si="8"/>
        <v>1.5492957746478919E-2</v>
      </c>
      <c r="F321" s="76">
        <v>43563</v>
      </c>
      <c r="G321" s="78">
        <v>35.970001000000003</v>
      </c>
      <c r="H321" s="79">
        <f t="shared" si="9"/>
        <v>8.3478021243136907E-4</v>
      </c>
    </row>
    <row r="322" spans="2:8">
      <c r="B322" s="76">
        <v>43564</v>
      </c>
      <c r="C322" s="77">
        <v>14.04</v>
      </c>
      <c r="D322" s="79">
        <f t="shared" si="8"/>
        <v>-2.6352288488210873E-2</v>
      </c>
      <c r="F322" s="76">
        <v>43564</v>
      </c>
      <c r="G322" s="78">
        <v>35.729999999999997</v>
      </c>
      <c r="H322" s="79">
        <f t="shared" si="9"/>
        <v>-6.6722544711635273E-3</v>
      </c>
    </row>
    <row r="323" spans="2:8">
      <c r="B323" s="76">
        <v>43565</v>
      </c>
      <c r="C323" s="77">
        <v>14.15</v>
      </c>
      <c r="D323" s="79">
        <f t="shared" si="8"/>
        <v>7.834757834757922E-3</v>
      </c>
      <c r="F323" s="76">
        <v>43565</v>
      </c>
      <c r="G323" s="78">
        <v>35.93</v>
      </c>
      <c r="H323" s="79">
        <f t="shared" si="9"/>
        <v>5.5975370836832596E-3</v>
      </c>
    </row>
    <row r="324" spans="2:8">
      <c r="B324" s="76">
        <v>43566</v>
      </c>
      <c r="C324" s="77">
        <v>14.34</v>
      </c>
      <c r="D324" s="79">
        <f t="shared" si="8"/>
        <v>1.3427561837455795E-2</v>
      </c>
      <c r="F324" s="76">
        <v>43566</v>
      </c>
      <c r="G324" s="78">
        <v>35.900002000000001</v>
      </c>
      <c r="H324" s="79">
        <f t="shared" si="9"/>
        <v>-8.3490119677147453E-4</v>
      </c>
    </row>
    <row r="325" spans="2:8">
      <c r="B325" s="76">
        <v>43567</v>
      </c>
      <c r="C325" s="77">
        <v>14.4</v>
      </c>
      <c r="D325" s="79">
        <f t="shared" si="8"/>
        <v>4.1841004184100762E-3</v>
      </c>
      <c r="F325" s="76">
        <v>43567</v>
      </c>
      <c r="G325" s="78">
        <v>36.150002000000001</v>
      </c>
      <c r="H325" s="79">
        <f t="shared" si="9"/>
        <v>6.9637879128808958E-3</v>
      </c>
    </row>
    <row r="326" spans="2:8">
      <c r="B326" s="76">
        <v>43570</v>
      </c>
      <c r="C326" s="77">
        <v>14.27</v>
      </c>
      <c r="D326" s="79">
        <f t="shared" ref="D326:D389" si="10">(C326-C325)/C325</f>
        <v>-9.0277777777778324E-3</v>
      </c>
      <c r="F326" s="76">
        <v>43570</v>
      </c>
      <c r="G326" s="78">
        <v>36.119999</v>
      </c>
      <c r="H326" s="79">
        <f t="shared" ref="H326:H389" si="11">(G326-G325)/G325</f>
        <v>-8.2995846030660435E-4</v>
      </c>
    </row>
    <row r="327" spans="2:8">
      <c r="B327" s="76">
        <v>43571</v>
      </c>
      <c r="C327" s="77">
        <v>14.05</v>
      </c>
      <c r="D327" s="79">
        <f t="shared" si="10"/>
        <v>-1.5416958654519893E-2</v>
      </c>
      <c r="F327" s="76">
        <v>43571</v>
      </c>
      <c r="G327" s="78">
        <v>36.119999</v>
      </c>
      <c r="H327" s="79">
        <f t="shared" si="11"/>
        <v>0</v>
      </c>
    </row>
    <row r="328" spans="2:8">
      <c r="B328" s="76">
        <v>43572</v>
      </c>
      <c r="C328" s="77">
        <v>14</v>
      </c>
      <c r="D328" s="79">
        <f t="shared" si="10"/>
        <v>-3.558718861210015E-3</v>
      </c>
      <c r="F328" s="76">
        <v>43572</v>
      </c>
      <c r="G328" s="78">
        <v>36.009998000000003</v>
      </c>
      <c r="H328" s="79">
        <f t="shared" si="11"/>
        <v>-3.0454319780019072E-3</v>
      </c>
    </row>
    <row r="329" spans="2:8">
      <c r="B329" s="76">
        <v>43573</v>
      </c>
      <c r="C329" s="77">
        <v>14.09</v>
      </c>
      <c r="D329" s="79">
        <f t="shared" si="10"/>
        <v>6.428571428571418E-3</v>
      </c>
      <c r="F329" s="76">
        <v>43573</v>
      </c>
      <c r="G329" s="78">
        <v>36.049999</v>
      </c>
      <c r="H329" s="79">
        <f t="shared" si="11"/>
        <v>1.110830386605315E-3</v>
      </c>
    </row>
    <row r="330" spans="2:8">
      <c r="B330" s="76">
        <v>43577</v>
      </c>
      <c r="C330" s="77">
        <v>13.54</v>
      </c>
      <c r="D330" s="79">
        <f t="shared" si="10"/>
        <v>-3.9034776437189549E-2</v>
      </c>
      <c r="F330" s="76">
        <v>43577</v>
      </c>
      <c r="G330" s="78">
        <v>36.099997999999999</v>
      </c>
      <c r="H330" s="79">
        <f t="shared" si="11"/>
        <v>1.3869348512325808E-3</v>
      </c>
    </row>
    <row r="331" spans="2:8">
      <c r="B331" s="76">
        <v>43578</v>
      </c>
      <c r="C331" s="77">
        <v>13.95</v>
      </c>
      <c r="D331" s="79">
        <f t="shared" si="10"/>
        <v>3.0280649926144768E-2</v>
      </c>
      <c r="F331" s="76">
        <v>43578</v>
      </c>
      <c r="G331" s="78">
        <v>36.450001</v>
      </c>
      <c r="H331" s="79">
        <f t="shared" si="11"/>
        <v>9.6953744983587237E-3</v>
      </c>
    </row>
    <row r="332" spans="2:8">
      <c r="B332" s="76">
        <v>43579</v>
      </c>
      <c r="C332" s="77">
        <v>14</v>
      </c>
      <c r="D332" s="79">
        <f t="shared" si="10"/>
        <v>3.5842293906810548E-3</v>
      </c>
      <c r="F332" s="76">
        <v>43579</v>
      </c>
      <c r="G332" s="78">
        <v>36.400002000000001</v>
      </c>
      <c r="H332" s="79">
        <f t="shared" si="11"/>
        <v>-1.3717146400078202E-3</v>
      </c>
    </row>
    <row r="333" spans="2:8">
      <c r="B333" s="76">
        <v>43580</v>
      </c>
      <c r="C333" s="77">
        <v>13.74</v>
      </c>
      <c r="D333" s="79">
        <f t="shared" si="10"/>
        <v>-1.8571428571428555E-2</v>
      </c>
      <c r="F333" s="76">
        <v>43580</v>
      </c>
      <c r="G333" s="78">
        <v>36.330002</v>
      </c>
      <c r="H333" s="79">
        <f t="shared" si="11"/>
        <v>-1.9230768174133695E-3</v>
      </c>
    </row>
    <row r="334" spans="2:8">
      <c r="B334" s="76">
        <v>43581</v>
      </c>
      <c r="C334" s="77">
        <v>13.94</v>
      </c>
      <c r="D334" s="79">
        <f t="shared" si="10"/>
        <v>1.4556040756914067E-2</v>
      </c>
      <c r="F334" s="76">
        <v>43581</v>
      </c>
      <c r="G334" s="78">
        <v>36.490001999999997</v>
      </c>
      <c r="H334" s="79">
        <f t="shared" si="11"/>
        <v>4.4040735257872155E-3</v>
      </c>
    </row>
    <row r="335" spans="2:8">
      <c r="B335" s="76">
        <v>43584</v>
      </c>
      <c r="C335" s="77">
        <v>14.16</v>
      </c>
      <c r="D335" s="79">
        <f t="shared" si="10"/>
        <v>1.5781922525107652E-2</v>
      </c>
      <c r="F335" s="76">
        <v>43584</v>
      </c>
      <c r="G335" s="78">
        <v>36.540000999999997</v>
      </c>
      <c r="H335" s="79">
        <f t="shared" si="11"/>
        <v>1.370210941616273E-3</v>
      </c>
    </row>
    <row r="336" spans="2:8">
      <c r="B336" s="76">
        <v>43585</v>
      </c>
      <c r="C336" s="77">
        <v>13.78</v>
      </c>
      <c r="D336" s="79">
        <f t="shared" si="10"/>
        <v>-2.683615819209045E-2</v>
      </c>
      <c r="F336" s="76">
        <v>43585</v>
      </c>
      <c r="G336" s="78">
        <v>36.580002</v>
      </c>
      <c r="H336" s="79">
        <f t="shared" si="11"/>
        <v>1.0947180871725684E-3</v>
      </c>
    </row>
    <row r="337" spans="2:8">
      <c r="B337" s="76">
        <v>43586</v>
      </c>
      <c r="C337" s="77">
        <v>14.35</v>
      </c>
      <c r="D337" s="79">
        <f t="shared" si="10"/>
        <v>4.1364296081277237E-2</v>
      </c>
      <c r="F337" s="76">
        <v>43586</v>
      </c>
      <c r="G337" s="78">
        <v>36.330002</v>
      </c>
      <c r="H337" s="79">
        <f t="shared" si="11"/>
        <v>-6.834335328904575E-3</v>
      </c>
    </row>
    <row r="338" spans="2:8">
      <c r="B338" s="76">
        <v>43587</v>
      </c>
      <c r="C338" s="77">
        <v>14.71</v>
      </c>
      <c r="D338" s="79">
        <f t="shared" si="10"/>
        <v>2.5087108013937365E-2</v>
      </c>
      <c r="F338" s="76">
        <v>43587</v>
      </c>
      <c r="G338" s="78">
        <v>36.259998000000003</v>
      </c>
      <c r="H338" s="79">
        <f t="shared" si="11"/>
        <v>-1.926892269370018E-3</v>
      </c>
    </row>
    <row r="339" spans="2:8">
      <c r="B339" s="76">
        <v>43588</v>
      </c>
      <c r="C339" s="77">
        <v>16.790001</v>
      </c>
      <c r="D339" s="79">
        <f t="shared" si="10"/>
        <v>0.14140047586675725</v>
      </c>
      <c r="F339" s="76">
        <v>43588</v>
      </c>
      <c r="G339" s="78">
        <v>36.650002000000001</v>
      </c>
      <c r="H339" s="79">
        <f t="shared" si="11"/>
        <v>1.0755764520450264E-2</v>
      </c>
    </row>
    <row r="340" spans="2:8">
      <c r="B340" s="76">
        <v>43591</v>
      </c>
      <c r="C340" s="77">
        <v>16.82</v>
      </c>
      <c r="D340" s="79">
        <f t="shared" si="10"/>
        <v>1.7867181782776612E-3</v>
      </c>
      <c r="F340" s="76">
        <v>43591</v>
      </c>
      <c r="G340" s="78">
        <v>36.549999</v>
      </c>
      <c r="H340" s="79">
        <f t="shared" si="11"/>
        <v>-2.7285946669252828E-3</v>
      </c>
    </row>
    <row r="341" spans="2:8">
      <c r="B341" s="76">
        <v>43592</v>
      </c>
      <c r="C341" s="77">
        <v>16.700001</v>
      </c>
      <c r="D341" s="79">
        <f t="shared" si="10"/>
        <v>-7.1343043995243738E-3</v>
      </c>
      <c r="F341" s="76">
        <v>43592</v>
      </c>
      <c r="G341" s="78">
        <v>35.900002000000001</v>
      </c>
      <c r="H341" s="79">
        <f t="shared" si="11"/>
        <v>-1.7783776136354998E-2</v>
      </c>
    </row>
    <row r="342" spans="2:8">
      <c r="B342" s="76">
        <v>43593</v>
      </c>
      <c r="C342" s="77">
        <v>16.600000000000001</v>
      </c>
      <c r="D342" s="79">
        <f t="shared" si="10"/>
        <v>-5.9880834737673907E-3</v>
      </c>
      <c r="F342" s="76">
        <v>43593</v>
      </c>
      <c r="G342" s="78">
        <v>35.860000999999997</v>
      </c>
      <c r="H342" s="79">
        <f t="shared" si="11"/>
        <v>-1.1142339212126986E-3</v>
      </c>
    </row>
    <row r="343" spans="2:8">
      <c r="B343" s="76">
        <v>43594</v>
      </c>
      <c r="C343" s="77">
        <v>16.700001</v>
      </c>
      <c r="D343" s="79">
        <f t="shared" si="10"/>
        <v>6.0241566265059575E-3</v>
      </c>
      <c r="F343" s="76">
        <v>43594</v>
      </c>
      <c r="G343" s="78">
        <v>35.740001999999997</v>
      </c>
      <c r="H343" s="79">
        <f t="shared" si="11"/>
        <v>-3.3463189250887075E-3</v>
      </c>
    </row>
    <row r="344" spans="2:8">
      <c r="B344" s="76">
        <v>43595</v>
      </c>
      <c r="C344" s="77">
        <v>16.48</v>
      </c>
      <c r="D344" s="79">
        <f t="shared" si="10"/>
        <v>-1.3173711786005276E-2</v>
      </c>
      <c r="F344" s="76">
        <v>43595</v>
      </c>
      <c r="G344" s="78">
        <v>35.880001</v>
      </c>
      <c r="H344" s="79">
        <f t="shared" si="11"/>
        <v>3.9171514316088483E-3</v>
      </c>
    </row>
    <row r="345" spans="2:8">
      <c r="B345" s="76">
        <v>43598</v>
      </c>
      <c r="C345" s="77">
        <v>15.81</v>
      </c>
      <c r="D345" s="79">
        <f t="shared" si="10"/>
        <v>-4.0655339805825239E-2</v>
      </c>
      <c r="F345" s="76">
        <v>43598</v>
      </c>
      <c r="G345" s="78">
        <v>34.979999999999997</v>
      </c>
      <c r="H345" s="79">
        <f t="shared" si="11"/>
        <v>-2.508363921171583E-2</v>
      </c>
    </row>
    <row r="346" spans="2:8">
      <c r="B346" s="76">
        <v>43599</v>
      </c>
      <c r="C346" s="77">
        <v>16.079999999999998</v>
      </c>
      <c r="D346" s="79">
        <f t="shared" si="10"/>
        <v>1.7077798861479938E-2</v>
      </c>
      <c r="F346" s="76">
        <v>43599</v>
      </c>
      <c r="G346" s="78">
        <v>35.32</v>
      </c>
      <c r="H346" s="79">
        <f t="shared" si="11"/>
        <v>9.7198399085192521E-3</v>
      </c>
    </row>
    <row r="347" spans="2:8">
      <c r="B347" s="76">
        <v>43600</v>
      </c>
      <c r="C347" s="77">
        <v>16.149999999999999</v>
      </c>
      <c r="D347" s="79">
        <f t="shared" si="10"/>
        <v>4.3532338308457895E-3</v>
      </c>
      <c r="F347" s="76">
        <v>43600</v>
      </c>
      <c r="G347" s="78">
        <v>35.5</v>
      </c>
      <c r="H347" s="79">
        <f t="shared" si="11"/>
        <v>5.0962627406568439E-3</v>
      </c>
    </row>
    <row r="348" spans="2:8">
      <c r="B348" s="76">
        <v>43601</v>
      </c>
      <c r="C348" s="77">
        <v>15.97</v>
      </c>
      <c r="D348" s="79">
        <f t="shared" si="10"/>
        <v>-1.1145510835913187E-2</v>
      </c>
      <c r="F348" s="76">
        <v>43601</v>
      </c>
      <c r="G348" s="78">
        <v>35.799999</v>
      </c>
      <c r="H348" s="79">
        <f t="shared" si="11"/>
        <v>8.45067605633802E-3</v>
      </c>
    </row>
    <row r="349" spans="2:8">
      <c r="B349" s="76">
        <v>43602</v>
      </c>
      <c r="C349" s="77">
        <v>15.82</v>
      </c>
      <c r="D349" s="79">
        <f t="shared" si="10"/>
        <v>-9.3926111458985818E-3</v>
      </c>
      <c r="F349" s="76">
        <v>43602</v>
      </c>
      <c r="G349" s="78">
        <v>35.580002</v>
      </c>
      <c r="H349" s="79">
        <f t="shared" si="11"/>
        <v>-6.1451677694180753E-3</v>
      </c>
    </row>
    <row r="350" spans="2:8">
      <c r="B350" s="76">
        <v>43605</v>
      </c>
      <c r="C350" s="77">
        <v>15.4</v>
      </c>
      <c r="D350" s="79">
        <f t="shared" si="10"/>
        <v>-2.6548672566371678E-2</v>
      </c>
      <c r="F350" s="76">
        <v>43605</v>
      </c>
      <c r="G350" s="78">
        <v>35.330002</v>
      </c>
      <c r="H350" s="79">
        <f t="shared" si="11"/>
        <v>-7.0264189417414873E-3</v>
      </c>
    </row>
    <row r="351" spans="2:8">
      <c r="B351" s="76">
        <v>43606</v>
      </c>
      <c r="C351" s="77">
        <v>15.94</v>
      </c>
      <c r="D351" s="79">
        <f t="shared" si="10"/>
        <v>3.5064935064935007E-2</v>
      </c>
      <c r="F351" s="76">
        <v>43606</v>
      </c>
      <c r="G351" s="78">
        <v>35.669998</v>
      </c>
      <c r="H351" s="79">
        <f t="shared" si="11"/>
        <v>9.6234356284497034E-3</v>
      </c>
    </row>
    <row r="352" spans="2:8">
      <c r="B352" s="76">
        <v>43607</v>
      </c>
      <c r="C352" s="77">
        <v>15.58</v>
      </c>
      <c r="D352" s="79">
        <f t="shared" si="10"/>
        <v>-2.2584692597239615E-2</v>
      </c>
      <c r="F352" s="76">
        <v>43607</v>
      </c>
      <c r="G352" s="78">
        <v>35.520000000000003</v>
      </c>
      <c r="H352" s="79">
        <f t="shared" si="11"/>
        <v>-4.2051586321927049E-3</v>
      </c>
    </row>
    <row r="353" spans="2:8">
      <c r="B353" s="76">
        <v>43608</v>
      </c>
      <c r="C353" s="77">
        <v>14.98</v>
      </c>
      <c r="D353" s="79">
        <f t="shared" si="10"/>
        <v>-3.8510911424903697E-2</v>
      </c>
      <c r="F353" s="76">
        <v>43608</v>
      </c>
      <c r="G353" s="78">
        <v>35.07</v>
      </c>
      <c r="H353" s="79">
        <f t="shared" si="11"/>
        <v>-1.2668918918918998E-2</v>
      </c>
    </row>
    <row r="354" spans="2:8">
      <c r="B354" s="76">
        <v>43609</v>
      </c>
      <c r="C354" s="77">
        <v>15.06</v>
      </c>
      <c r="D354" s="79">
        <f t="shared" si="10"/>
        <v>5.3404539385847839E-3</v>
      </c>
      <c r="F354" s="76">
        <v>43609</v>
      </c>
      <c r="G354" s="78">
        <v>35.159999999999997</v>
      </c>
      <c r="H354" s="79">
        <f t="shared" si="11"/>
        <v>2.5662959794695269E-3</v>
      </c>
    </row>
    <row r="355" spans="2:8">
      <c r="B355" s="76">
        <v>43613</v>
      </c>
      <c r="C355" s="77">
        <v>14.73</v>
      </c>
      <c r="D355" s="79">
        <f t="shared" si="10"/>
        <v>-2.1912350597609567E-2</v>
      </c>
      <c r="F355" s="76">
        <v>43613</v>
      </c>
      <c r="G355" s="78">
        <v>34.849997999999999</v>
      </c>
      <c r="H355" s="79">
        <f t="shared" si="11"/>
        <v>-8.8168941979521395E-3</v>
      </c>
    </row>
    <row r="356" spans="2:8">
      <c r="B356" s="76">
        <v>43614</v>
      </c>
      <c r="C356" s="77">
        <v>14.57</v>
      </c>
      <c r="D356" s="79">
        <f t="shared" si="10"/>
        <v>-1.0862186014935516E-2</v>
      </c>
      <c r="F356" s="76">
        <v>43614</v>
      </c>
      <c r="G356" s="78">
        <v>34.619999</v>
      </c>
      <c r="H356" s="79">
        <f t="shared" si="11"/>
        <v>-6.5996847402975288E-3</v>
      </c>
    </row>
    <row r="357" spans="2:8">
      <c r="B357" s="76">
        <v>43615</v>
      </c>
      <c r="C357" s="77">
        <v>14.42</v>
      </c>
      <c r="D357" s="79">
        <f t="shared" si="10"/>
        <v>-1.0295126973232694E-2</v>
      </c>
      <c r="F357" s="76">
        <v>43615</v>
      </c>
      <c r="G357" s="78">
        <v>34.659999999999997</v>
      </c>
      <c r="H357" s="79">
        <f t="shared" si="11"/>
        <v>1.1554304204340568E-3</v>
      </c>
    </row>
    <row r="358" spans="2:8">
      <c r="B358" s="76">
        <v>43616</v>
      </c>
      <c r="C358" s="77">
        <v>14.08</v>
      </c>
      <c r="D358" s="79">
        <f t="shared" si="10"/>
        <v>-2.3578363384188616E-2</v>
      </c>
      <c r="F358" s="76">
        <v>43616</v>
      </c>
      <c r="G358" s="78">
        <v>34.229999999999997</v>
      </c>
      <c r="H358" s="79">
        <f t="shared" si="11"/>
        <v>-1.2406231967686086E-2</v>
      </c>
    </row>
    <row r="359" spans="2:8">
      <c r="B359" s="76">
        <v>43619</v>
      </c>
      <c r="C359" s="77">
        <v>14.13</v>
      </c>
      <c r="D359" s="79">
        <f t="shared" si="10"/>
        <v>3.5511363636364143E-3</v>
      </c>
      <c r="F359" s="76">
        <v>43619</v>
      </c>
      <c r="G359" s="78">
        <v>34.159999999999997</v>
      </c>
      <c r="H359" s="79">
        <f t="shared" si="11"/>
        <v>-2.0449897750511332E-3</v>
      </c>
    </row>
    <row r="360" spans="2:8">
      <c r="B360" s="76">
        <v>43620</v>
      </c>
      <c r="C360" s="77">
        <v>14.92</v>
      </c>
      <c r="D360" s="79">
        <f t="shared" si="10"/>
        <v>5.5909412597310623E-2</v>
      </c>
      <c r="F360" s="76">
        <v>43620</v>
      </c>
      <c r="G360" s="78">
        <v>34.93</v>
      </c>
      <c r="H360" s="79">
        <f t="shared" si="11"/>
        <v>2.2540983606557471E-2</v>
      </c>
    </row>
    <row r="361" spans="2:8">
      <c r="B361" s="76">
        <v>43621</v>
      </c>
      <c r="C361" s="77">
        <v>14.79</v>
      </c>
      <c r="D361" s="79">
        <f t="shared" si="10"/>
        <v>-8.7131367292225727E-3</v>
      </c>
      <c r="F361" s="76">
        <v>43621</v>
      </c>
      <c r="G361" s="78">
        <v>35.209999000000003</v>
      </c>
      <c r="H361" s="79">
        <f t="shared" si="11"/>
        <v>8.0160034354424189E-3</v>
      </c>
    </row>
    <row r="362" spans="2:8">
      <c r="B362" s="76">
        <v>43622</v>
      </c>
      <c r="C362" s="77">
        <v>14.69</v>
      </c>
      <c r="D362" s="79">
        <f t="shared" si="10"/>
        <v>-6.7613252197430461E-3</v>
      </c>
      <c r="F362" s="76">
        <v>43622</v>
      </c>
      <c r="G362" s="78">
        <v>35.419998</v>
      </c>
      <c r="H362" s="79">
        <f t="shared" si="11"/>
        <v>5.9641864800960729E-3</v>
      </c>
    </row>
    <row r="363" spans="2:8">
      <c r="B363" s="76">
        <v>43623</v>
      </c>
      <c r="C363" s="77">
        <v>14.6</v>
      </c>
      <c r="D363" s="79">
        <f t="shared" si="10"/>
        <v>-6.1266167460857631E-3</v>
      </c>
      <c r="F363" s="76">
        <v>43623</v>
      </c>
      <c r="G363" s="78">
        <v>35.759998000000003</v>
      </c>
      <c r="H363" s="79">
        <f t="shared" si="11"/>
        <v>9.5990970976340372E-3</v>
      </c>
    </row>
    <row r="364" spans="2:8">
      <c r="B364" s="76">
        <v>43626</v>
      </c>
      <c r="C364" s="77">
        <v>14.88</v>
      </c>
      <c r="D364" s="79">
        <f t="shared" si="10"/>
        <v>1.9178082191780899E-2</v>
      </c>
      <c r="F364" s="76">
        <v>43626</v>
      </c>
      <c r="G364" s="78">
        <v>35.93</v>
      </c>
      <c r="H364" s="79">
        <f t="shared" si="11"/>
        <v>4.7539711831079143E-3</v>
      </c>
    </row>
    <row r="365" spans="2:8">
      <c r="B365" s="76">
        <v>43627</v>
      </c>
      <c r="C365" s="77">
        <v>14.75</v>
      </c>
      <c r="D365" s="79">
        <f t="shared" si="10"/>
        <v>-8.7365591397849975E-3</v>
      </c>
      <c r="F365" s="76">
        <v>43627</v>
      </c>
      <c r="G365" s="78">
        <v>35.919998</v>
      </c>
      <c r="H365" s="79">
        <f t="shared" si="11"/>
        <v>-2.7837461731144075E-4</v>
      </c>
    </row>
    <row r="366" spans="2:8">
      <c r="B366" s="76">
        <v>43628</v>
      </c>
      <c r="C366" s="77">
        <v>14.91</v>
      </c>
      <c r="D366" s="79">
        <f t="shared" si="10"/>
        <v>1.0847457627118653E-2</v>
      </c>
      <c r="F366" s="76">
        <v>43628</v>
      </c>
      <c r="G366" s="78">
        <v>35.860000999999997</v>
      </c>
      <c r="H366" s="79">
        <f t="shared" si="11"/>
        <v>-1.6702951932236394E-3</v>
      </c>
    </row>
    <row r="367" spans="2:8">
      <c r="B367" s="76">
        <v>43629</v>
      </c>
      <c r="C367" s="77">
        <v>15.35</v>
      </c>
      <c r="D367" s="79">
        <f t="shared" si="10"/>
        <v>2.9510395707578772E-2</v>
      </c>
      <c r="F367" s="76">
        <v>43629</v>
      </c>
      <c r="G367" s="78">
        <v>36.009998000000003</v>
      </c>
      <c r="H367" s="79">
        <f t="shared" si="11"/>
        <v>4.1828498554700591E-3</v>
      </c>
    </row>
    <row r="368" spans="2:8">
      <c r="B368" s="76">
        <v>43630</v>
      </c>
      <c r="C368" s="77">
        <v>15.43</v>
      </c>
      <c r="D368" s="79">
        <f t="shared" si="10"/>
        <v>5.2117263843648254E-3</v>
      </c>
      <c r="F368" s="76">
        <v>43630</v>
      </c>
      <c r="G368" s="78">
        <v>35.919998</v>
      </c>
      <c r="H368" s="79">
        <f t="shared" si="11"/>
        <v>-2.4993058872150842E-3</v>
      </c>
    </row>
    <row r="369" spans="2:8">
      <c r="B369" s="76">
        <v>43633</v>
      </c>
      <c r="C369" s="77">
        <v>15.23</v>
      </c>
      <c r="D369" s="79">
        <f t="shared" si="10"/>
        <v>-1.296176279974072E-2</v>
      </c>
      <c r="F369" s="76">
        <v>43633</v>
      </c>
      <c r="G369" s="78">
        <v>36.009998000000003</v>
      </c>
      <c r="H369" s="79">
        <f t="shared" si="11"/>
        <v>2.5055680682388518E-3</v>
      </c>
    </row>
    <row r="370" spans="2:8">
      <c r="B370" s="76">
        <v>43634</v>
      </c>
      <c r="C370" s="77">
        <v>15.31</v>
      </c>
      <c r="D370" s="79">
        <f t="shared" si="10"/>
        <v>5.2527905449770238E-3</v>
      </c>
      <c r="F370" s="76">
        <v>43634</v>
      </c>
      <c r="G370" s="78">
        <v>36.369999</v>
      </c>
      <c r="H370" s="79">
        <f t="shared" si="11"/>
        <v>9.9972513189252859E-3</v>
      </c>
    </row>
    <row r="371" spans="2:8">
      <c r="B371" s="76">
        <v>43635</v>
      </c>
      <c r="C371" s="77">
        <v>15.31</v>
      </c>
      <c r="D371" s="79">
        <f t="shared" si="10"/>
        <v>0</v>
      </c>
      <c r="F371" s="76">
        <v>43635</v>
      </c>
      <c r="G371" s="78">
        <v>36.479999999999997</v>
      </c>
      <c r="H371" s="79">
        <f t="shared" si="11"/>
        <v>3.024498295971823E-3</v>
      </c>
    </row>
    <row r="372" spans="2:8">
      <c r="B372" s="76">
        <v>43636</v>
      </c>
      <c r="C372" s="77">
        <v>15.71</v>
      </c>
      <c r="D372" s="79">
        <f t="shared" si="10"/>
        <v>2.6126714565643392E-2</v>
      </c>
      <c r="F372" s="76">
        <v>43636</v>
      </c>
      <c r="G372" s="78">
        <v>36.82</v>
      </c>
      <c r="H372" s="79">
        <f t="shared" si="11"/>
        <v>9.3201754385965861E-3</v>
      </c>
    </row>
    <row r="373" spans="2:8">
      <c r="B373" s="76">
        <v>43637</v>
      </c>
      <c r="C373" s="77">
        <v>15.25</v>
      </c>
      <c r="D373" s="79">
        <f t="shared" si="10"/>
        <v>-2.9280712921705972E-2</v>
      </c>
      <c r="F373" s="76">
        <v>43637</v>
      </c>
      <c r="G373" s="78">
        <v>36.529998999999997</v>
      </c>
      <c r="H373" s="79">
        <f t="shared" si="11"/>
        <v>-7.8761814231396998E-3</v>
      </c>
    </row>
    <row r="374" spans="2:8">
      <c r="B374" s="76">
        <v>43640</v>
      </c>
      <c r="C374" s="77">
        <v>15.37</v>
      </c>
      <c r="D374" s="79">
        <f t="shared" si="10"/>
        <v>7.8688524590163414E-3</v>
      </c>
      <c r="F374" s="76">
        <v>43640</v>
      </c>
      <c r="G374" s="78">
        <v>36.419998</v>
      </c>
      <c r="H374" s="79">
        <f t="shared" si="11"/>
        <v>-3.011251108985711E-3</v>
      </c>
    </row>
    <row r="375" spans="2:8">
      <c r="B375" s="76">
        <v>43641</v>
      </c>
      <c r="C375" s="77">
        <v>15.42</v>
      </c>
      <c r="D375" s="79">
        <f t="shared" si="10"/>
        <v>3.2530904359141647E-3</v>
      </c>
      <c r="F375" s="76">
        <v>43641</v>
      </c>
      <c r="G375" s="78">
        <v>36.049999</v>
      </c>
      <c r="H375" s="79">
        <f t="shared" si="11"/>
        <v>-1.0159226258057454E-2</v>
      </c>
    </row>
    <row r="376" spans="2:8">
      <c r="B376" s="76">
        <v>43642</v>
      </c>
      <c r="C376" s="77">
        <v>15.37</v>
      </c>
      <c r="D376" s="79">
        <f t="shared" si="10"/>
        <v>-3.2425421530480358E-3</v>
      </c>
      <c r="F376" s="76">
        <v>43642</v>
      </c>
      <c r="G376" s="78">
        <v>36.029998999999997</v>
      </c>
      <c r="H376" s="79">
        <f t="shared" si="11"/>
        <v>-5.5478503619384644E-4</v>
      </c>
    </row>
    <row r="377" spans="2:8">
      <c r="B377" s="76">
        <v>43643</v>
      </c>
      <c r="C377" s="77">
        <v>16.25</v>
      </c>
      <c r="D377" s="79">
        <f t="shared" si="10"/>
        <v>5.7254391672088539E-2</v>
      </c>
      <c r="F377" s="76">
        <v>43643</v>
      </c>
      <c r="G377" s="78">
        <v>36.25</v>
      </c>
      <c r="H377" s="79">
        <f t="shared" si="11"/>
        <v>6.1060506829323938E-3</v>
      </c>
    </row>
    <row r="378" spans="2:8">
      <c r="B378" s="76">
        <v>43644</v>
      </c>
      <c r="C378" s="77">
        <v>16.860001</v>
      </c>
      <c r="D378" s="79">
        <f t="shared" si="10"/>
        <v>3.7538523076923104E-2</v>
      </c>
      <c r="F378" s="76">
        <v>43644</v>
      </c>
      <c r="G378" s="78">
        <v>36.459999000000003</v>
      </c>
      <c r="H378" s="79">
        <f t="shared" si="11"/>
        <v>5.7930758620690585E-3</v>
      </c>
    </row>
    <row r="379" spans="2:8">
      <c r="B379" s="76">
        <v>43647</v>
      </c>
      <c r="C379" s="77">
        <v>16.959999</v>
      </c>
      <c r="D379" s="79">
        <f t="shared" si="10"/>
        <v>5.9310791262704764E-3</v>
      </c>
      <c r="F379" s="76">
        <v>43647</v>
      </c>
      <c r="G379" s="78">
        <v>36.770000000000003</v>
      </c>
      <c r="H379" s="79">
        <f t="shared" si="11"/>
        <v>8.5024961191030122E-3</v>
      </c>
    </row>
    <row r="380" spans="2:8">
      <c r="B380" s="76">
        <v>43648</v>
      </c>
      <c r="C380" s="77">
        <v>16.98</v>
      </c>
      <c r="D380" s="79">
        <f t="shared" si="10"/>
        <v>1.1793043148175069E-3</v>
      </c>
      <c r="F380" s="76">
        <v>43648</v>
      </c>
      <c r="G380" s="78">
        <v>36.840000000000003</v>
      </c>
      <c r="H380" s="79">
        <f t="shared" si="11"/>
        <v>1.903725863475667E-3</v>
      </c>
    </row>
    <row r="381" spans="2:8">
      <c r="B381" s="76">
        <v>43649</v>
      </c>
      <c r="C381" s="77">
        <v>16.959999</v>
      </c>
      <c r="D381" s="79">
        <f t="shared" si="10"/>
        <v>-1.1779151943463251E-3</v>
      </c>
      <c r="F381" s="76">
        <v>43649</v>
      </c>
      <c r="G381" s="78">
        <v>37.130001</v>
      </c>
      <c r="H381" s="79">
        <f t="shared" si="11"/>
        <v>7.8719055374591902E-3</v>
      </c>
    </row>
    <row r="382" spans="2:8">
      <c r="B382" s="76">
        <v>43651</v>
      </c>
      <c r="C382" s="77">
        <v>16.969999000000001</v>
      </c>
      <c r="D382" s="79">
        <f t="shared" si="10"/>
        <v>5.8962267627501411E-4</v>
      </c>
      <c r="F382" s="76">
        <v>43651</v>
      </c>
      <c r="G382" s="78">
        <v>37.099997999999999</v>
      </c>
      <c r="H382" s="79">
        <f t="shared" si="11"/>
        <v>-8.0805276574058451E-4</v>
      </c>
    </row>
    <row r="383" spans="2:8">
      <c r="B383" s="76">
        <v>43654</v>
      </c>
      <c r="C383" s="77">
        <v>17.010000000000002</v>
      </c>
      <c r="D383" s="79">
        <f t="shared" si="10"/>
        <v>2.3571598324784917E-3</v>
      </c>
      <c r="F383" s="76">
        <v>43654</v>
      </c>
      <c r="G383" s="78">
        <v>36.889999000000003</v>
      </c>
      <c r="H383" s="79">
        <f t="shared" si="11"/>
        <v>-5.660350709452768E-3</v>
      </c>
    </row>
    <row r="384" spans="2:8">
      <c r="B384" s="76">
        <v>43655</v>
      </c>
      <c r="C384" s="77">
        <v>16.75</v>
      </c>
      <c r="D384" s="79">
        <f t="shared" si="10"/>
        <v>-1.5285126396237598E-2</v>
      </c>
      <c r="F384" s="76">
        <v>43655</v>
      </c>
      <c r="G384" s="78">
        <v>36.959999000000003</v>
      </c>
      <c r="H384" s="79">
        <f t="shared" si="11"/>
        <v>1.8975332582687324E-3</v>
      </c>
    </row>
    <row r="385" spans="2:8">
      <c r="B385" s="76">
        <v>43656</v>
      </c>
      <c r="C385" s="77">
        <v>16.84</v>
      </c>
      <c r="D385" s="79">
        <f t="shared" si="10"/>
        <v>5.3731343283582008E-3</v>
      </c>
      <c r="F385" s="76">
        <v>43656</v>
      </c>
      <c r="G385" s="78">
        <v>37.099997999999999</v>
      </c>
      <c r="H385" s="79">
        <f t="shared" si="11"/>
        <v>3.7878518340867915E-3</v>
      </c>
    </row>
    <row r="386" spans="2:8">
      <c r="B386" s="76">
        <v>43657</v>
      </c>
      <c r="C386" s="77">
        <v>16.899999999999999</v>
      </c>
      <c r="D386" s="79">
        <f t="shared" si="10"/>
        <v>3.5629453681709456E-3</v>
      </c>
      <c r="F386" s="76">
        <v>43657</v>
      </c>
      <c r="G386" s="78">
        <v>37.169998</v>
      </c>
      <c r="H386" s="79">
        <f t="shared" si="11"/>
        <v>1.8867925545440808E-3</v>
      </c>
    </row>
    <row r="387" spans="2:8">
      <c r="B387" s="76">
        <v>43658</v>
      </c>
      <c r="C387" s="77">
        <v>17.010000000000002</v>
      </c>
      <c r="D387" s="79">
        <f t="shared" si="10"/>
        <v>6.5088757396451471E-3</v>
      </c>
      <c r="F387" s="76">
        <v>43658</v>
      </c>
      <c r="G387" s="78">
        <v>37.349997999999999</v>
      </c>
      <c r="H387" s="79">
        <f t="shared" si="11"/>
        <v>4.8426152726723237E-3</v>
      </c>
    </row>
    <row r="388" spans="2:8">
      <c r="B388" s="76">
        <v>43661</v>
      </c>
      <c r="C388" s="77">
        <v>16.84</v>
      </c>
      <c r="D388" s="79">
        <f t="shared" si="10"/>
        <v>-9.9941211052323158E-3</v>
      </c>
      <c r="F388" s="76">
        <v>43661</v>
      </c>
      <c r="G388" s="78">
        <v>37.340000000000003</v>
      </c>
      <c r="H388" s="79">
        <f t="shared" si="11"/>
        <v>-2.6768408394549191E-4</v>
      </c>
    </row>
    <row r="389" spans="2:8">
      <c r="B389" s="76">
        <v>43662</v>
      </c>
      <c r="C389" s="77">
        <v>16.889999</v>
      </c>
      <c r="D389" s="79">
        <f t="shared" si="10"/>
        <v>2.9690617577196963E-3</v>
      </c>
      <c r="F389" s="76">
        <v>43662</v>
      </c>
      <c r="G389" s="78">
        <v>37.189999</v>
      </c>
      <c r="H389" s="79">
        <f t="shared" si="11"/>
        <v>-4.0171665773969774E-3</v>
      </c>
    </row>
    <row r="390" spans="2:8">
      <c r="B390" s="76">
        <v>43663</v>
      </c>
      <c r="C390" s="77">
        <v>16.510000000000002</v>
      </c>
      <c r="D390" s="79">
        <f t="shared" ref="D390:D453" si="12">(C390-C389)/C389</f>
        <v>-2.249846195964831E-2</v>
      </c>
      <c r="F390" s="76">
        <v>43663</v>
      </c>
      <c r="G390" s="78">
        <v>37</v>
      </c>
      <c r="H390" s="79">
        <f t="shared" ref="H390:H453" si="13">(G390-G389)/G389</f>
        <v>-5.1088734904241396E-3</v>
      </c>
    </row>
    <row r="391" spans="2:8">
      <c r="B391" s="76">
        <v>43664</v>
      </c>
      <c r="C391" s="77">
        <v>16.530000999999999</v>
      </c>
      <c r="D391" s="79">
        <f t="shared" si="12"/>
        <v>1.2114476075104207E-3</v>
      </c>
      <c r="F391" s="76">
        <v>43664</v>
      </c>
      <c r="G391" s="78">
        <v>37.139999000000003</v>
      </c>
      <c r="H391" s="79">
        <f t="shared" si="13"/>
        <v>3.7837567567568405E-3</v>
      </c>
    </row>
    <row r="392" spans="2:8">
      <c r="B392" s="76">
        <v>43665</v>
      </c>
      <c r="C392" s="77">
        <v>16.350000000000001</v>
      </c>
      <c r="D392" s="79">
        <f t="shared" si="12"/>
        <v>-1.0889352033311867E-2</v>
      </c>
      <c r="F392" s="76">
        <v>43665</v>
      </c>
      <c r="G392" s="78">
        <v>36.939999</v>
      </c>
      <c r="H392" s="79">
        <f t="shared" si="13"/>
        <v>-5.3850297626556968E-3</v>
      </c>
    </row>
    <row r="393" spans="2:8">
      <c r="B393" s="76">
        <v>43668</v>
      </c>
      <c r="C393" s="77">
        <v>16.200001</v>
      </c>
      <c r="D393" s="79">
        <f t="shared" si="12"/>
        <v>-9.1742507645260606E-3</v>
      </c>
      <c r="F393" s="76">
        <v>43668</v>
      </c>
      <c r="G393" s="78">
        <v>37.029998999999997</v>
      </c>
      <c r="H393" s="79">
        <f t="shared" si="13"/>
        <v>2.4363833902647453E-3</v>
      </c>
    </row>
    <row r="394" spans="2:8">
      <c r="B394" s="76">
        <v>43669</v>
      </c>
      <c r="C394" s="77">
        <v>16.59</v>
      </c>
      <c r="D394" s="79">
        <f t="shared" si="12"/>
        <v>2.407401085962893E-2</v>
      </c>
      <c r="F394" s="76">
        <v>43669</v>
      </c>
      <c r="G394" s="78">
        <v>37.259998000000003</v>
      </c>
      <c r="H394" s="79">
        <f t="shared" si="13"/>
        <v>6.2111532868258119E-3</v>
      </c>
    </row>
    <row r="395" spans="2:8">
      <c r="B395" s="76">
        <v>43670</v>
      </c>
      <c r="C395" s="77">
        <v>17.23</v>
      </c>
      <c r="D395" s="79">
        <f t="shared" si="12"/>
        <v>3.857745629897532E-2</v>
      </c>
      <c r="F395" s="76">
        <v>43670</v>
      </c>
      <c r="G395" s="78">
        <v>37.490001999999997</v>
      </c>
      <c r="H395" s="79">
        <f t="shared" si="13"/>
        <v>6.172947191247672E-3</v>
      </c>
    </row>
    <row r="396" spans="2:8">
      <c r="B396" s="76">
        <v>43671</v>
      </c>
      <c r="C396" s="77">
        <v>17.370000999999998</v>
      </c>
      <c r="D396" s="79">
        <f t="shared" si="12"/>
        <v>8.1254207777131764E-3</v>
      </c>
      <c r="F396" s="76">
        <v>43671</v>
      </c>
      <c r="G396" s="78">
        <v>37.310001</v>
      </c>
      <c r="H396" s="79">
        <f t="shared" si="13"/>
        <v>-4.8013067590659828E-3</v>
      </c>
    </row>
    <row r="397" spans="2:8">
      <c r="B397" s="76">
        <v>43672</v>
      </c>
      <c r="C397" s="77">
        <v>17.34</v>
      </c>
      <c r="D397" s="79">
        <f t="shared" si="12"/>
        <v>-1.7271731878425692E-3</v>
      </c>
      <c r="F397" s="76">
        <v>43672</v>
      </c>
      <c r="G397" s="78">
        <v>37.529998999999997</v>
      </c>
      <c r="H397" s="79">
        <f t="shared" si="13"/>
        <v>5.8964887189361589E-3</v>
      </c>
    </row>
    <row r="398" spans="2:8">
      <c r="B398" s="76">
        <v>43675</v>
      </c>
      <c r="C398" s="77">
        <v>16.870000999999998</v>
      </c>
      <c r="D398" s="79">
        <f t="shared" si="12"/>
        <v>-2.7104901960784394E-2</v>
      </c>
      <c r="F398" s="76">
        <v>43675</v>
      </c>
      <c r="G398" s="78">
        <v>37.450001</v>
      </c>
      <c r="H398" s="79">
        <f t="shared" si="13"/>
        <v>-2.1315747970042909E-3</v>
      </c>
    </row>
    <row r="399" spans="2:8">
      <c r="B399" s="76">
        <v>43676</v>
      </c>
      <c r="C399" s="77">
        <v>17.350000000000001</v>
      </c>
      <c r="D399" s="79">
        <f t="shared" si="12"/>
        <v>2.8452813962488978E-2</v>
      </c>
      <c r="F399" s="76">
        <v>43676</v>
      </c>
      <c r="G399" s="78">
        <v>37.400002000000001</v>
      </c>
      <c r="H399" s="79">
        <f t="shared" si="13"/>
        <v>-1.3350867467266472E-3</v>
      </c>
    </row>
    <row r="400" spans="2:8">
      <c r="B400" s="76">
        <v>43677</v>
      </c>
      <c r="C400" s="77">
        <v>17.18</v>
      </c>
      <c r="D400" s="79">
        <f t="shared" si="12"/>
        <v>-9.7982708933718552E-3</v>
      </c>
      <c r="F400" s="76">
        <v>43677</v>
      </c>
      <c r="G400" s="78">
        <v>37</v>
      </c>
      <c r="H400" s="79">
        <f t="shared" si="13"/>
        <v>-1.0695240069773276E-2</v>
      </c>
    </row>
    <row r="401" spans="2:8">
      <c r="B401" s="76">
        <v>43678</v>
      </c>
      <c r="C401" s="77">
        <v>16.799999</v>
      </c>
      <c r="D401" s="79">
        <f t="shared" si="12"/>
        <v>-2.2118800931315484E-2</v>
      </c>
      <c r="F401" s="76">
        <v>43678</v>
      </c>
      <c r="G401" s="78">
        <v>36.689999</v>
      </c>
      <c r="H401" s="79">
        <f t="shared" si="13"/>
        <v>-8.3784054054053987E-3</v>
      </c>
    </row>
    <row r="402" spans="2:8">
      <c r="B402" s="76">
        <v>43679</v>
      </c>
      <c r="C402" s="77">
        <v>18.870000999999998</v>
      </c>
      <c r="D402" s="79">
        <f t="shared" si="12"/>
        <v>0.12321441209609589</v>
      </c>
      <c r="F402" s="76">
        <v>43679</v>
      </c>
      <c r="G402" s="78">
        <v>36.380001</v>
      </c>
      <c r="H402" s="79">
        <f t="shared" si="13"/>
        <v>-8.4491144303383663E-3</v>
      </c>
    </row>
    <row r="403" spans="2:8">
      <c r="B403" s="76">
        <v>43682</v>
      </c>
      <c r="C403" s="77">
        <v>18.899999999999999</v>
      </c>
      <c r="D403" s="79">
        <f t="shared" si="12"/>
        <v>1.5897720408175977E-3</v>
      </c>
      <c r="F403" s="76">
        <v>43682</v>
      </c>
      <c r="G403" s="78">
        <v>35.270000000000003</v>
      </c>
      <c r="H403" s="79">
        <f t="shared" si="13"/>
        <v>-3.0511296577479394E-2</v>
      </c>
    </row>
    <row r="404" spans="2:8">
      <c r="B404" s="76">
        <v>43683</v>
      </c>
      <c r="C404" s="77">
        <v>18.98</v>
      </c>
      <c r="D404" s="79">
        <f t="shared" si="12"/>
        <v>4.2328042328043311E-3</v>
      </c>
      <c r="F404" s="76">
        <v>43683</v>
      </c>
      <c r="G404" s="78">
        <v>35.729999999999997</v>
      </c>
      <c r="H404" s="79">
        <f t="shared" si="13"/>
        <v>1.3042245534448361E-2</v>
      </c>
    </row>
    <row r="405" spans="2:8">
      <c r="B405" s="76">
        <v>43684</v>
      </c>
      <c r="C405" s="77">
        <v>19.629999000000002</v>
      </c>
      <c r="D405" s="79">
        <f t="shared" si="12"/>
        <v>3.4246522655426825E-2</v>
      </c>
      <c r="F405" s="76">
        <v>43684</v>
      </c>
      <c r="G405" s="78">
        <v>35.779998999999997</v>
      </c>
      <c r="H405" s="79">
        <f t="shared" si="13"/>
        <v>1.3993562832353677E-3</v>
      </c>
    </row>
    <row r="406" spans="2:8">
      <c r="B406" s="76">
        <v>43685</v>
      </c>
      <c r="C406" s="77">
        <v>20.120000999999998</v>
      </c>
      <c r="D406" s="79">
        <f t="shared" si="12"/>
        <v>2.4961896330203424E-2</v>
      </c>
      <c r="F406" s="76">
        <v>43685</v>
      </c>
      <c r="G406" s="78">
        <v>36.490001999999997</v>
      </c>
      <c r="H406" s="79">
        <f t="shared" si="13"/>
        <v>1.9843572382436357E-2</v>
      </c>
    </row>
    <row r="407" spans="2:8">
      <c r="B407" s="76">
        <v>43686</v>
      </c>
      <c r="C407" s="77">
        <v>20.149999999999999</v>
      </c>
      <c r="D407" s="79">
        <f t="shared" si="12"/>
        <v>1.4910039020375849E-3</v>
      </c>
      <c r="F407" s="76">
        <v>43686</v>
      </c>
      <c r="G407" s="78">
        <v>36.189999</v>
      </c>
      <c r="H407" s="79">
        <f t="shared" si="13"/>
        <v>-8.221512292599948E-3</v>
      </c>
    </row>
    <row r="408" spans="2:8">
      <c r="B408" s="76">
        <v>43689</v>
      </c>
      <c r="C408" s="77">
        <v>19.66</v>
      </c>
      <c r="D408" s="79">
        <f t="shared" si="12"/>
        <v>-2.4317617866004886E-2</v>
      </c>
      <c r="F408" s="76">
        <v>43689</v>
      </c>
      <c r="G408" s="78">
        <v>35.740001999999997</v>
      </c>
      <c r="H408" s="79">
        <f t="shared" si="13"/>
        <v>-1.2434291584257941E-2</v>
      </c>
    </row>
    <row r="409" spans="2:8">
      <c r="B409" s="76">
        <v>43690</v>
      </c>
      <c r="C409" s="77">
        <v>19.209999</v>
      </c>
      <c r="D409" s="79">
        <f t="shared" si="12"/>
        <v>-2.2889165818921683E-2</v>
      </c>
      <c r="F409" s="76">
        <v>43690</v>
      </c>
      <c r="G409" s="78">
        <v>36.290000999999997</v>
      </c>
      <c r="H409" s="79">
        <f t="shared" si="13"/>
        <v>1.5388891136603734E-2</v>
      </c>
    </row>
    <row r="410" spans="2:8">
      <c r="B410" s="76">
        <v>43691</v>
      </c>
      <c r="C410" s="77">
        <v>18.700001</v>
      </c>
      <c r="D410" s="79">
        <f t="shared" si="12"/>
        <v>-2.654856983594843E-2</v>
      </c>
      <c r="F410" s="76">
        <v>43691</v>
      </c>
      <c r="G410" s="78">
        <v>35.229999999999997</v>
      </c>
      <c r="H410" s="79">
        <f t="shared" si="13"/>
        <v>-2.9209175276682958E-2</v>
      </c>
    </row>
    <row r="411" spans="2:8">
      <c r="B411" s="76">
        <v>43692</v>
      </c>
      <c r="C411" s="77">
        <v>18.719999000000001</v>
      </c>
      <c r="D411" s="79">
        <f t="shared" si="12"/>
        <v>1.0694117075181477E-3</v>
      </c>
      <c r="F411" s="76">
        <v>43692</v>
      </c>
      <c r="G411" s="78">
        <v>35.290000999999997</v>
      </c>
      <c r="H411" s="79">
        <f t="shared" si="13"/>
        <v>1.7031223389156898E-3</v>
      </c>
    </row>
    <row r="412" spans="2:8">
      <c r="B412" s="76">
        <v>43693</v>
      </c>
      <c r="C412" s="77">
        <v>18.93</v>
      </c>
      <c r="D412" s="79">
        <f t="shared" si="12"/>
        <v>1.121800273600433E-2</v>
      </c>
      <c r="F412" s="76">
        <v>43693</v>
      </c>
      <c r="G412" s="78">
        <v>35.810001</v>
      </c>
      <c r="H412" s="79">
        <f t="shared" si="13"/>
        <v>1.4735052005240895E-2</v>
      </c>
    </row>
    <row r="413" spans="2:8">
      <c r="B413" s="76">
        <v>43696</v>
      </c>
      <c r="C413" s="77">
        <v>19.139999</v>
      </c>
      <c r="D413" s="79">
        <f t="shared" si="12"/>
        <v>1.1093449550977276E-2</v>
      </c>
      <c r="F413" s="76">
        <v>43696</v>
      </c>
      <c r="G413" s="78">
        <v>36.25</v>
      </c>
      <c r="H413" s="79">
        <f t="shared" si="13"/>
        <v>1.2287042382378047E-2</v>
      </c>
    </row>
    <row r="414" spans="2:8">
      <c r="B414" s="76">
        <v>43697</v>
      </c>
      <c r="C414" s="77">
        <v>19.120000999999998</v>
      </c>
      <c r="D414" s="79">
        <f t="shared" si="12"/>
        <v>-1.0448276407956484E-3</v>
      </c>
      <c r="F414" s="76">
        <v>43697</v>
      </c>
      <c r="G414" s="78">
        <v>35.979999999999997</v>
      </c>
      <c r="H414" s="79">
        <f t="shared" si="13"/>
        <v>-7.4482758620690514E-3</v>
      </c>
    </row>
    <row r="415" spans="2:8">
      <c r="B415" s="76">
        <v>43698</v>
      </c>
      <c r="C415" s="77">
        <v>19.610001</v>
      </c>
      <c r="D415" s="79">
        <f t="shared" si="12"/>
        <v>2.5627613722405247E-2</v>
      </c>
      <c r="F415" s="76">
        <v>43698</v>
      </c>
      <c r="G415" s="78">
        <v>36.259998000000003</v>
      </c>
      <c r="H415" s="79">
        <f t="shared" si="13"/>
        <v>7.7820455808784387E-3</v>
      </c>
    </row>
    <row r="416" spans="2:8">
      <c r="B416" s="76">
        <v>43699</v>
      </c>
      <c r="C416" s="77">
        <v>19.610001</v>
      </c>
      <c r="D416" s="79">
        <f t="shared" si="12"/>
        <v>0</v>
      </c>
      <c r="F416" s="76">
        <v>43699</v>
      </c>
      <c r="G416" s="78">
        <v>36.270000000000003</v>
      </c>
      <c r="H416" s="79">
        <f t="shared" si="13"/>
        <v>2.758411624843461E-4</v>
      </c>
    </row>
    <row r="417" spans="2:8">
      <c r="B417" s="76">
        <v>43700</v>
      </c>
      <c r="C417" s="77">
        <v>18.82</v>
      </c>
      <c r="D417" s="79">
        <f t="shared" si="12"/>
        <v>-4.0285617527505486E-2</v>
      </c>
      <c r="F417" s="76">
        <v>43700</v>
      </c>
      <c r="G417" s="78">
        <v>35.310001</v>
      </c>
      <c r="H417" s="79">
        <f t="shared" si="13"/>
        <v>-2.6468127929418342E-2</v>
      </c>
    </row>
    <row r="418" spans="2:8">
      <c r="B418" s="76">
        <v>43703</v>
      </c>
      <c r="C418" s="77">
        <v>19.209999</v>
      </c>
      <c r="D418" s="79">
        <f t="shared" si="12"/>
        <v>2.0722582359192325E-2</v>
      </c>
      <c r="F418" s="76">
        <v>43703</v>
      </c>
      <c r="G418" s="78">
        <v>35.669998</v>
      </c>
      <c r="H418" s="79">
        <f t="shared" si="13"/>
        <v>1.0195326814066074E-2</v>
      </c>
    </row>
    <row r="419" spans="2:8">
      <c r="B419" s="76">
        <v>43704</v>
      </c>
      <c r="C419" s="77">
        <v>18.870000999999998</v>
      </c>
      <c r="D419" s="79">
        <f t="shared" si="12"/>
        <v>-1.7699011853150089E-2</v>
      </c>
      <c r="F419" s="76">
        <v>43704</v>
      </c>
      <c r="G419" s="78">
        <v>35.529998999999997</v>
      </c>
      <c r="H419" s="79">
        <f t="shared" si="13"/>
        <v>-3.9248390201760902E-3</v>
      </c>
    </row>
    <row r="420" spans="2:8">
      <c r="B420" s="76">
        <v>43705</v>
      </c>
      <c r="C420" s="77">
        <v>19.149999999999999</v>
      </c>
      <c r="D420" s="79">
        <f t="shared" si="12"/>
        <v>1.4838313999029473E-2</v>
      </c>
      <c r="F420" s="76">
        <v>43705</v>
      </c>
      <c r="G420" s="78">
        <v>35.770000000000003</v>
      </c>
      <c r="H420" s="79">
        <f t="shared" si="13"/>
        <v>6.7548833874159862E-3</v>
      </c>
    </row>
    <row r="421" spans="2:8">
      <c r="B421" s="76">
        <v>43706</v>
      </c>
      <c r="C421" s="77">
        <v>19.450001</v>
      </c>
      <c r="D421" s="79">
        <f t="shared" si="12"/>
        <v>1.566584856396876E-2</v>
      </c>
      <c r="F421" s="76">
        <v>43706</v>
      </c>
      <c r="G421" s="78">
        <v>36.240001999999997</v>
      </c>
      <c r="H421" s="79">
        <f t="shared" si="13"/>
        <v>1.3139558289068879E-2</v>
      </c>
    </row>
    <row r="422" spans="2:8">
      <c r="B422" s="76">
        <v>43707</v>
      </c>
      <c r="C422" s="77">
        <v>19.450001</v>
      </c>
      <c r="D422" s="79">
        <f t="shared" si="12"/>
        <v>0</v>
      </c>
      <c r="F422" s="76">
        <v>43707</v>
      </c>
      <c r="G422" s="78">
        <v>36.240001999999997</v>
      </c>
      <c r="H422" s="79">
        <f t="shared" si="13"/>
        <v>0</v>
      </c>
    </row>
    <row r="423" spans="2:8">
      <c r="B423" s="76">
        <v>43711</v>
      </c>
      <c r="C423" s="77">
        <v>18.93</v>
      </c>
      <c r="D423" s="79">
        <f t="shared" si="12"/>
        <v>-2.6735268548315271E-2</v>
      </c>
      <c r="F423" s="76">
        <v>43711</v>
      </c>
      <c r="G423" s="78">
        <v>36</v>
      </c>
      <c r="H423" s="79">
        <f t="shared" si="13"/>
        <v>-6.6225713784452047E-3</v>
      </c>
    </row>
    <row r="424" spans="2:8">
      <c r="B424" s="76">
        <v>43712</v>
      </c>
      <c r="C424" s="77">
        <v>19.059999000000001</v>
      </c>
      <c r="D424" s="79">
        <f t="shared" si="12"/>
        <v>6.8673534072900971E-3</v>
      </c>
      <c r="F424" s="76">
        <v>43712</v>
      </c>
      <c r="G424" s="78">
        <v>36.380001</v>
      </c>
      <c r="H424" s="79">
        <f t="shared" si="13"/>
        <v>1.0555583333333333E-2</v>
      </c>
    </row>
    <row r="425" spans="2:8">
      <c r="B425" s="76">
        <v>43713</v>
      </c>
      <c r="C425" s="77">
        <v>19.209999</v>
      </c>
      <c r="D425" s="79">
        <f t="shared" si="12"/>
        <v>7.8698849879267341E-3</v>
      </c>
      <c r="F425" s="76">
        <v>43713</v>
      </c>
      <c r="G425" s="78">
        <v>36.869999</v>
      </c>
      <c r="H425" s="79">
        <f t="shared" si="13"/>
        <v>1.3468883631971311E-2</v>
      </c>
    </row>
    <row r="426" spans="2:8">
      <c r="B426" s="76">
        <v>43714</v>
      </c>
      <c r="C426" s="77">
        <v>19.07</v>
      </c>
      <c r="D426" s="79">
        <f t="shared" si="12"/>
        <v>-7.2878192237282018E-3</v>
      </c>
      <c r="F426" s="76">
        <v>43714</v>
      </c>
      <c r="G426" s="78">
        <v>36.880001</v>
      </c>
      <c r="H426" s="79">
        <f t="shared" si="13"/>
        <v>2.7127746870836818E-4</v>
      </c>
    </row>
    <row r="427" spans="2:8">
      <c r="B427" s="76">
        <v>43717</v>
      </c>
      <c r="C427" s="77">
        <v>19.43</v>
      </c>
      <c r="D427" s="79">
        <f t="shared" si="12"/>
        <v>1.8877818563188223E-2</v>
      </c>
      <c r="F427" s="76">
        <v>43717</v>
      </c>
      <c r="G427" s="78">
        <v>36.909999999999997</v>
      </c>
      <c r="H427" s="79">
        <f t="shared" si="13"/>
        <v>8.1342188683770791E-4</v>
      </c>
    </row>
    <row r="428" spans="2:8">
      <c r="B428" s="76">
        <v>43718</v>
      </c>
      <c r="C428" s="77">
        <v>19.760000000000002</v>
      </c>
      <c r="D428" s="79">
        <f t="shared" si="12"/>
        <v>1.6984045290787536E-2</v>
      </c>
      <c r="F428" s="76">
        <v>43718</v>
      </c>
      <c r="G428" s="78">
        <v>36.909999999999997</v>
      </c>
      <c r="H428" s="79">
        <f t="shared" si="13"/>
        <v>0</v>
      </c>
    </row>
    <row r="429" spans="2:8">
      <c r="B429" s="76">
        <v>43719</v>
      </c>
      <c r="C429" s="77">
        <v>19.950001</v>
      </c>
      <c r="D429" s="79">
        <f t="shared" si="12"/>
        <v>9.6154352226720009E-3</v>
      </c>
      <c r="F429" s="76">
        <v>43719</v>
      </c>
      <c r="G429" s="78">
        <v>37.229999999999997</v>
      </c>
      <c r="H429" s="79">
        <f t="shared" si="13"/>
        <v>8.6697371985911768E-3</v>
      </c>
    </row>
    <row r="430" spans="2:8">
      <c r="B430" s="76">
        <v>43720</v>
      </c>
      <c r="C430" s="77">
        <v>19.989999999999998</v>
      </c>
      <c r="D430" s="79">
        <f t="shared" si="12"/>
        <v>2.0049623055155797E-3</v>
      </c>
      <c r="F430" s="76">
        <v>43720</v>
      </c>
      <c r="G430" s="78">
        <v>37.330002</v>
      </c>
      <c r="H430" s="79">
        <f t="shared" si="13"/>
        <v>2.6860596293312783E-3</v>
      </c>
    </row>
    <row r="431" spans="2:8">
      <c r="B431" s="76">
        <v>43721</v>
      </c>
      <c r="C431" s="77">
        <v>20.190000999999999</v>
      </c>
      <c r="D431" s="79">
        <f t="shared" si="12"/>
        <v>1.0005052526263148E-2</v>
      </c>
      <c r="F431" s="76">
        <v>43721</v>
      </c>
      <c r="G431" s="78">
        <v>37.270000000000003</v>
      </c>
      <c r="H431" s="79">
        <f t="shared" si="13"/>
        <v>-1.6073398549509112E-3</v>
      </c>
    </row>
    <row r="432" spans="2:8">
      <c r="B432" s="76">
        <v>43724</v>
      </c>
      <c r="C432" s="77">
        <v>20.23</v>
      </c>
      <c r="D432" s="79">
        <f t="shared" si="12"/>
        <v>1.9811291737925952E-3</v>
      </c>
      <c r="F432" s="76">
        <v>43724</v>
      </c>
      <c r="G432" s="78">
        <v>37.240001999999997</v>
      </c>
      <c r="H432" s="79">
        <f t="shared" si="13"/>
        <v>-8.0488328414290804E-4</v>
      </c>
    </row>
    <row r="433" spans="2:8">
      <c r="B433" s="76">
        <v>43725</v>
      </c>
      <c r="C433" s="77">
        <v>20.34</v>
      </c>
      <c r="D433" s="79">
        <f t="shared" si="12"/>
        <v>5.4374691052891467E-3</v>
      </c>
      <c r="F433" s="76">
        <v>43725</v>
      </c>
      <c r="G433" s="78">
        <v>37.32</v>
      </c>
      <c r="H433" s="79">
        <f t="shared" si="13"/>
        <v>2.1481738910756058E-3</v>
      </c>
    </row>
    <row r="434" spans="2:8">
      <c r="B434" s="76">
        <v>43726</v>
      </c>
      <c r="C434" s="77">
        <v>20.49</v>
      </c>
      <c r="D434" s="79">
        <f t="shared" si="12"/>
        <v>7.3746312684365087E-3</v>
      </c>
      <c r="F434" s="76">
        <v>43726</v>
      </c>
      <c r="G434" s="78">
        <v>37.299999</v>
      </c>
      <c r="H434" s="79">
        <f t="shared" si="13"/>
        <v>-5.3593247588426052E-4</v>
      </c>
    </row>
    <row r="435" spans="2:8">
      <c r="B435" s="76">
        <v>43727</v>
      </c>
      <c r="C435" s="77">
        <v>20.559999000000001</v>
      </c>
      <c r="D435" s="79">
        <f t="shared" si="12"/>
        <v>3.4162518301611914E-3</v>
      </c>
      <c r="F435" s="76">
        <v>43727</v>
      </c>
      <c r="G435" s="78">
        <v>37.290000999999997</v>
      </c>
      <c r="H435" s="79">
        <f t="shared" si="13"/>
        <v>-2.6804290262857807E-4</v>
      </c>
    </row>
    <row r="436" spans="2:8">
      <c r="B436" s="76">
        <v>43728</v>
      </c>
      <c r="C436" s="77">
        <v>20.260000000000002</v>
      </c>
      <c r="D436" s="79">
        <f t="shared" si="12"/>
        <v>-1.4591391760281684E-2</v>
      </c>
      <c r="F436" s="76">
        <v>43728</v>
      </c>
      <c r="G436" s="78">
        <v>36.970001000000003</v>
      </c>
      <c r="H436" s="79">
        <f t="shared" si="13"/>
        <v>-8.5813888822366402E-3</v>
      </c>
    </row>
    <row r="437" spans="2:8">
      <c r="B437" s="76">
        <v>43731</v>
      </c>
      <c r="C437" s="77">
        <v>20.41</v>
      </c>
      <c r="D437" s="79">
        <f t="shared" si="12"/>
        <v>7.4037512339584681E-3</v>
      </c>
      <c r="F437" s="76">
        <v>43731</v>
      </c>
      <c r="G437" s="78">
        <v>36.959999000000003</v>
      </c>
      <c r="H437" s="79">
        <f t="shared" si="13"/>
        <v>-2.7054367675024042E-4</v>
      </c>
    </row>
    <row r="438" spans="2:8">
      <c r="B438" s="76">
        <v>43732</v>
      </c>
      <c r="C438" s="77">
        <v>20.239999999999998</v>
      </c>
      <c r="D438" s="79">
        <f t="shared" si="12"/>
        <v>-8.3292503674670115E-3</v>
      </c>
      <c r="F438" s="76">
        <v>43732</v>
      </c>
      <c r="G438" s="78">
        <v>36.619999</v>
      </c>
      <c r="H438" s="79">
        <f t="shared" si="13"/>
        <v>-9.1991344480286206E-3</v>
      </c>
    </row>
    <row r="439" spans="2:8">
      <c r="B439" s="76">
        <v>43733</v>
      </c>
      <c r="C439" s="77">
        <v>20.68</v>
      </c>
      <c r="D439" s="79">
        <f t="shared" si="12"/>
        <v>2.1739130434782674E-2</v>
      </c>
      <c r="F439" s="76">
        <v>43733</v>
      </c>
      <c r="G439" s="78">
        <v>36.869999</v>
      </c>
      <c r="H439" s="79">
        <f t="shared" si="13"/>
        <v>6.8268707489587861E-3</v>
      </c>
    </row>
    <row r="440" spans="2:8">
      <c r="B440" s="76">
        <v>43734</v>
      </c>
      <c r="C440" s="77">
        <v>20.549999</v>
      </c>
      <c r="D440" s="79">
        <f t="shared" si="12"/>
        <v>-6.2863152804642185E-3</v>
      </c>
      <c r="F440" s="76">
        <v>43734</v>
      </c>
      <c r="G440" s="78">
        <v>36.759998000000003</v>
      </c>
      <c r="H440" s="79">
        <f t="shared" si="13"/>
        <v>-2.9834825870214128E-3</v>
      </c>
    </row>
    <row r="441" spans="2:8">
      <c r="B441" s="76">
        <v>43735</v>
      </c>
      <c r="C441" s="77">
        <v>20.389999</v>
      </c>
      <c r="D441" s="79">
        <f t="shared" si="12"/>
        <v>-7.7858884567342385E-3</v>
      </c>
      <c r="F441" s="76">
        <v>43735</v>
      </c>
      <c r="G441" s="78">
        <v>36.529998999999997</v>
      </c>
      <c r="H441" s="79">
        <f t="shared" si="13"/>
        <v>-6.2567740074416347E-3</v>
      </c>
    </row>
    <row r="442" spans="2:8">
      <c r="B442" s="76">
        <v>43738</v>
      </c>
      <c r="C442" s="77">
        <v>20.58</v>
      </c>
      <c r="D442" s="79">
        <f t="shared" si="12"/>
        <v>9.3183427816744251E-3</v>
      </c>
      <c r="F442" s="76">
        <v>43738</v>
      </c>
      <c r="G442" s="78">
        <v>36.740001999999997</v>
      </c>
      <c r="H442" s="79">
        <f t="shared" si="13"/>
        <v>5.7487819805305878E-3</v>
      </c>
    </row>
    <row r="443" spans="2:8">
      <c r="B443" s="76">
        <v>43739</v>
      </c>
      <c r="C443" s="77">
        <v>20.43</v>
      </c>
      <c r="D443" s="79">
        <f t="shared" si="12"/>
        <v>-7.2886297376092606E-3</v>
      </c>
      <c r="F443" s="76">
        <v>43739</v>
      </c>
      <c r="G443" s="78">
        <v>36.259998000000003</v>
      </c>
      <c r="H443" s="79">
        <f t="shared" si="13"/>
        <v>-1.3064887693800178E-2</v>
      </c>
    </row>
    <row r="444" spans="2:8">
      <c r="B444" s="76">
        <v>43740</v>
      </c>
      <c r="C444" s="77">
        <v>20.27</v>
      </c>
      <c r="D444" s="79">
        <f t="shared" si="12"/>
        <v>-7.8316201664219362E-3</v>
      </c>
      <c r="F444" s="76">
        <v>43740</v>
      </c>
      <c r="G444" s="78">
        <v>35.630001</v>
      </c>
      <c r="H444" s="79">
        <f t="shared" si="13"/>
        <v>-1.7374435597045618E-2</v>
      </c>
    </row>
    <row r="445" spans="2:8">
      <c r="B445" s="76">
        <v>43741</v>
      </c>
      <c r="C445" s="77">
        <v>20.110001</v>
      </c>
      <c r="D445" s="79">
        <f t="shared" si="12"/>
        <v>-7.8933892451898916E-3</v>
      </c>
      <c r="F445" s="76">
        <v>43741</v>
      </c>
      <c r="G445" s="78">
        <v>35.950001</v>
      </c>
      <c r="H445" s="79">
        <f t="shared" si="13"/>
        <v>8.9811953695987899E-3</v>
      </c>
    </row>
    <row r="446" spans="2:8">
      <c r="B446" s="76">
        <v>43742</v>
      </c>
      <c r="C446" s="77">
        <v>20.5</v>
      </c>
      <c r="D446" s="79">
        <f t="shared" si="12"/>
        <v>1.9393285957569048E-2</v>
      </c>
      <c r="F446" s="76">
        <v>43742</v>
      </c>
      <c r="G446" s="78">
        <v>36.43</v>
      </c>
      <c r="H446" s="79">
        <f t="shared" si="13"/>
        <v>1.3351849419976355E-2</v>
      </c>
    </row>
    <row r="447" spans="2:8">
      <c r="B447" s="76">
        <v>43745</v>
      </c>
      <c r="C447" s="77">
        <v>20.299999</v>
      </c>
      <c r="D447" s="79">
        <f t="shared" si="12"/>
        <v>-9.7561463414634307E-3</v>
      </c>
      <c r="F447" s="76">
        <v>43745</v>
      </c>
      <c r="G447" s="78">
        <v>36.259998000000003</v>
      </c>
      <c r="H447" s="79">
        <f t="shared" si="13"/>
        <v>-4.6665385671149232E-3</v>
      </c>
    </row>
    <row r="448" spans="2:8">
      <c r="B448" s="76">
        <v>43746</v>
      </c>
      <c r="C448" s="77">
        <v>20.399999999999999</v>
      </c>
      <c r="D448" s="79">
        <f t="shared" si="12"/>
        <v>4.9261578781358015E-3</v>
      </c>
      <c r="F448" s="76">
        <v>43746</v>
      </c>
      <c r="G448" s="78">
        <v>35.709999000000003</v>
      </c>
      <c r="H448" s="79">
        <f t="shared" si="13"/>
        <v>-1.5168202711980282E-2</v>
      </c>
    </row>
    <row r="449" spans="2:8">
      <c r="B449" s="76">
        <v>43747</v>
      </c>
      <c r="C449" s="77">
        <v>20.799999</v>
      </c>
      <c r="D449" s="79">
        <f t="shared" si="12"/>
        <v>1.9607794117647116E-2</v>
      </c>
      <c r="F449" s="76">
        <v>43747</v>
      </c>
      <c r="G449" s="78">
        <v>36.009998000000003</v>
      </c>
      <c r="H449" s="79">
        <f t="shared" si="13"/>
        <v>8.4009803528697843E-3</v>
      </c>
    </row>
    <row r="450" spans="2:8">
      <c r="B450" s="76">
        <v>43748</v>
      </c>
      <c r="C450" s="77">
        <v>20.73</v>
      </c>
      <c r="D450" s="79">
        <f t="shared" si="12"/>
        <v>-3.3653367002565364E-3</v>
      </c>
      <c r="F450" s="76">
        <v>43748</v>
      </c>
      <c r="G450" s="78">
        <v>36.279998999999997</v>
      </c>
      <c r="H450" s="79">
        <f t="shared" si="13"/>
        <v>7.4979454317102012E-3</v>
      </c>
    </row>
    <row r="451" spans="2:8">
      <c r="B451" s="76">
        <v>43749</v>
      </c>
      <c r="C451" s="77">
        <v>20.67</v>
      </c>
      <c r="D451" s="79">
        <f t="shared" si="12"/>
        <v>-2.8943560057886502E-3</v>
      </c>
      <c r="F451" s="76">
        <v>43749</v>
      </c>
      <c r="G451" s="78">
        <v>36.68</v>
      </c>
      <c r="H451" s="79">
        <f t="shared" si="13"/>
        <v>1.1025386191438516E-2</v>
      </c>
    </row>
    <row r="452" spans="2:8">
      <c r="B452" s="76">
        <v>43752</v>
      </c>
      <c r="C452" s="77">
        <v>20.58</v>
      </c>
      <c r="D452" s="79">
        <f t="shared" si="12"/>
        <v>-4.3541364296082923E-3</v>
      </c>
      <c r="F452" s="76">
        <v>43752</v>
      </c>
      <c r="G452" s="78">
        <v>36.639999000000003</v>
      </c>
      <c r="H452" s="79">
        <f t="shared" si="13"/>
        <v>-1.0905398037076505E-3</v>
      </c>
    </row>
    <row r="453" spans="2:8">
      <c r="B453" s="76">
        <v>43753</v>
      </c>
      <c r="C453" s="77">
        <v>21.540001</v>
      </c>
      <c r="D453" s="79">
        <f t="shared" si="12"/>
        <v>4.664727891156472E-2</v>
      </c>
      <c r="F453" s="76">
        <v>43753</v>
      </c>
      <c r="G453" s="78">
        <v>36.959999000000003</v>
      </c>
      <c r="H453" s="79">
        <f t="shared" si="13"/>
        <v>8.7336246925115973E-3</v>
      </c>
    </row>
    <row r="454" spans="2:8">
      <c r="B454" s="76">
        <v>43754</v>
      </c>
      <c r="C454" s="77">
        <v>22.440000999999999</v>
      </c>
      <c r="D454" s="79">
        <f t="shared" ref="D454:D517" si="14">(C454-C453)/C453</f>
        <v>4.1782727865240052E-2</v>
      </c>
      <c r="F454" s="76">
        <v>43754</v>
      </c>
      <c r="G454" s="78">
        <v>36.880001</v>
      </c>
      <c r="H454" s="79">
        <f t="shared" ref="H454:H517" si="15">(G454-G453)/G453</f>
        <v>-2.1644481105100501E-3</v>
      </c>
    </row>
    <row r="455" spans="2:8">
      <c r="B455" s="76">
        <v>43755</v>
      </c>
      <c r="C455" s="77">
        <v>22.73</v>
      </c>
      <c r="D455" s="79">
        <f t="shared" si="14"/>
        <v>1.2923306019460592E-2</v>
      </c>
      <c r="F455" s="76">
        <v>43755</v>
      </c>
      <c r="G455" s="78">
        <v>37.029998999999997</v>
      </c>
      <c r="H455" s="79">
        <f t="shared" si="15"/>
        <v>4.0671907790890928E-3</v>
      </c>
    </row>
    <row r="456" spans="2:8">
      <c r="B456" s="76">
        <v>43756</v>
      </c>
      <c r="C456" s="77">
        <v>22.889999</v>
      </c>
      <c r="D456" s="79">
        <f t="shared" si="14"/>
        <v>7.0391113066431638E-3</v>
      </c>
      <c r="F456" s="76">
        <v>43756</v>
      </c>
      <c r="G456" s="78">
        <v>36.880001</v>
      </c>
      <c r="H456" s="79">
        <f t="shared" si="15"/>
        <v>-4.0507157453608502E-3</v>
      </c>
    </row>
    <row r="457" spans="2:8">
      <c r="B457" s="76">
        <v>43759</v>
      </c>
      <c r="C457" s="77">
        <v>23.33</v>
      </c>
      <c r="D457" s="79">
        <f t="shared" si="14"/>
        <v>1.9222412373194022E-2</v>
      </c>
      <c r="F457" s="76">
        <v>43759</v>
      </c>
      <c r="G457" s="78">
        <v>37.139999000000003</v>
      </c>
      <c r="H457" s="79">
        <f t="shared" si="15"/>
        <v>7.0498371190392062E-3</v>
      </c>
    </row>
    <row r="458" spans="2:8">
      <c r="B458" s="76">
        <v>43760</v>
      </c>
      <c r="C458" s="77">
        <v>23.049999</v>
      </c>
      <c r="D458" s="79">
        <f t="shared" si="14"/>
        <v>-1.2001757393913357E-2</v>
      </c>
      <c r="F458" s="76">
        <v>43760</v>
      </c>
      <c r="G458" s="78">
        <v>37.029998999999997</v>
      </c>
      <c r="H458" s="79">
        <f t="shared" si="15"/>
        <v>-2.9617663694607673E-3</v>
      </c>
    </row>
    <row r="459" spans="2:8">
      <c r="B459" s="76">
        <v>43761</v>
      </c>
      <c r="C459" s="77">
        <v>22.780000999999999</v>
      </c>
      <c r="D459" s="79">
        <f t="shared" si="14"/>
        <v>-1.1713579683886368E-2</v>
      </c>
      <c r="F459" s="76">
        <v>43761</v>
      </c>
      <c r="G459" s="78">
        <v>37.090000000000003</v>
      </c>
      <c r="H459" s="79">
        <f t="shared" si="15"/>
        <v>1.6203349073816303E-3</v>
      </c>
    </row>
    <row r="460" spans="2:8">
      <c r="B460" s="76">
        <v>43762</v>
      </c>
      <c r="C460" s="77">
        <v>22.700001</v>
      </c>
      <c r="D460" s="79">
        <f t="shared" si="14"/>
        <v>-3.5118523480309901E-3</v>
      </c>
      <c r="F460" s="76">
        <v>43762</v>
      </c>
      <c r="G460" s="78">
        <v>37.209999000000003</v>
      </c>
      <c r="H460" s="79">
        <f t="shared" si="15"/>
        <v>3.2353464545699638E-3</v>
      </c>
    </row>
    <row r="461" spans="2:8">
      <c r="B461" s="76">
        <v>43763</v>
      </c>
      <c r="C461" s="77">
        <v>22.92</v>
      </c>
      <c r="D461" s="79">
        <f t="shared" si="14"/>
        <v>9.6915854761416703E-3</v>
      </c>
      <c r="F461" s="76">
        <v>43763</v>
      </c>
      <c r="G461" s="78">
        <v>37.369999</v>
      </c>
      <c r="H461" s="79">
        <f t="shared" si="15"/>
        <v>4.2999194920697679E-3</v>
      </c>
    </row>
    <row r="462" spans="2:8">
      <c r="B462" s="76">
        <v>43766</v>
      </c>
      <c r="C462" s="77">
        <v>22.84</v>
      </c>
      <c r="D462" s="79">
        <f t="shared" si="14"/>
        <v>-3.4904013961606388E-3</v>
      </c>
      <c r="F462" s="76">
        <v>43766</v>
      </c>
      <c r="G462" s="78">
        <v>37.57</v>
      </c>
      <c r="H462" s="79">
        <f t="shared" si="15"/>
        <v>5.351913442652228E-3</v>
      </c>
    </row>
    <row r="463" spans="2:8">
      <c r="B463" s="76">
        <v>43767</v>
      </c>
      <c r="C463" s="77">
        <v>22.870000999999998</v>
      </c>
      <c r="D463" s="79">
        <f t="shared" si="14"/>
        <v>1.3135288966724435E-3</v>
      </c>
      <c r="F463" s="76">
        <v>43767</v>
      </c>
      <c r="G463" s="78">
        <v>37.57</v>
      </c>
      <c r="H463" s="79">
        <f t="shared" si="15"/>
        <v>0</v>
      </c>
    </row>
    <row r="464" spans="2:8">
      <c r="B464" s="76">
        <v>43768</v>
      </c>
      <c r="C464" s="77">
        <v>22.360001</v>
      </c>
      <c r="D464" s="79">
        <f t="shared" si="14"/>
        <v>-2.2299955299520891E-2</v>
      </c>
      <c r="F464" s="76">
        <v>43768</v>
      </c>
      <c r="G464" s="78">
        <v>37.669998</v>
      </c>
      <c r="H464" s="79">
        <f t="shared" si="15"/>
        <v>2.6616449294649819E-3</v>
      </c>
    </row>
    <row r="465" spans="2:8">
      <c r="B465" s="76">
        <v>43769</v>
      </c>
      <c r="C465" s="77">
        <v>22.610001</v>
      </c>
      <c r="D465" s="79">
        <f t="shared" si="14"/>
        <v>1.1180679285300569E-2</v>
      </c>
      <c r="F465" s="76">
        <v>43769</v>
      </c>
      <c r="G465" s="78">
        <v>37.540000999999997</v>
      </c>
      <c r="H465" s="79">
        <f t="shared" si="15"/>
        <v>-3.4509425776981201E-3</v>
      </c>
    </row>
    <row r="466" spans="2:8">
      <c r="B466" s="76">
        <v>43770</v>
      </c>
      <c r="C466" s="77">
        <v>24.299999</v>
      </c>
      <c r="D466" s="79">
        <f t="shared" si="14"/>
        <v>7.4745595986484004E-2</v>
      </c>
      <c r="F466" s="76">
        <v>43770</v>
      </c>
      <c r="G466" s="78">
        <v>37.93</v>
      </c>
      <c r="H466" s="79">
        <f t="shared" si="15"/>
        <v>1.0388891571952892E-2</v>
      </c>
    </row>
    <row r="467" spans="2:8">
      <c r="B467" s="76">
        <v>43773</v>
      </c>
      <c r="C467" s="77">
        <v>24.440000999999999</v>
      </c>
      <c r="D467" s="79">
        <f t="shared" si="14"/>
        <v>5.7613994140493204E-3</v>
      </c>
      <c r="F467" s="76">
        <v>43773</v>
      </c>
      <c r="G467" s="78">
        <v>38.07</v>
      </c>
      <c r="H467" s="79">
        <f t="shared" si="15"/>
        <v>3.69100975481151E-3</v>
      </c>
    </row>
    <row r="468" spans="2:8">
      <c r="B468" s="76">
        <v>43774</v>
      </c>
      <c r="C468" s="77">
        <v>23.799999</v>
      </c>
      <c r="D468" s="79">
        <f t="shared" si="14"/>
        <v>-2.6186660139661987E-2</v>
      </c>
      <c r="F468" s="76">
        <v>43774</v>
      </c>
      <c r="G468" s="78">
        <v>38</v>
      </c>
      <c r="H468" s="79">
        <f t="shared" si="15"/>
        <v>-1.8387181507748959E-3</v>
      </c>
    </row>
    <row r="469" spans="2:8">
      <c r="B469" s="76">
        <v>43775</v>
      </c>
      <c r="C469" s="77">
        <v>24.129999000000002</v>
      </c>
      <c r="D469" s="79">
        <f t="shared" si="14"/>
        <v>1.3865546801073473E-2</v>
      </c>
      <c r="F469" s="76">
        <v>43775</v>
      </c>
      <c r="G469" s="78">
        <v>37.979999999999997</v>
      </c>
      <c r="H469" s="79">
        <f t="shared" si="15"/>
        <v>-5.2631578947376649E-4</v>
      </c>
    </row>
    <row r="470" spans="2:8">
      <c r="B470" s="76">
        <v>43776</v>
      </c>
      <c r="C470" s="77">
        <v>23.559999000000001</v>
      </c>
      <c r="D470" s="79">
        <f t="shared" si="14"/>
        <v>-2.3622048223043864E-2</v>
      </c>
      <c r="F470" s="76">
        <v>43776</v>
      </c>
      <c r="G470" s="78">
        <v>38.110000999999997</v>
      </c>
      <c r="H470" s="79">
        <f t="shared" si="15"/>
        <v>3.4228804634017914E-3</v>
      </c>
    </row>
    <row r="471" spans="2:8">
      <c r="B471" s="76">
        <v>43777</v>
      </c>
      <c r="C471" s="77">
        <v>24.190000999999999</v>
      </c>
      <c r="D471" s="79">
        <f t="shared" si="14"/>
        <v>2.6740323715633327E-2</v>
      </c>
      <c r="F471" s="76">
        <v>43777</v>
      </c>
      <c r="G471" s="78">
        <v>38.220001000000003</v>
      </c>
      <c r="H471" s="79">
        <f t="shared" si="15"/>
        <v>2.8863814514202336E-3</v>
      </c>
    </row>
    <row r="472" spans="2:8">
      <c r="B472" s="76">
        <v>43780</v>
      </c>
      <c r="C472" s="77">
        <v>24.360001</v>
      </c>
      <c r="D472" s="79">
        <f t="shared" si="14"/>
        <v>7.0276971050973382E-3</v>
      </c>
      <c r="F472" s="76">
        <v>43780</v>
      </c>
      <c r="G472" s="78">
        <v>38.18</v>
      </c>
      <c r="H472" s="79">
        <f t="shared" si="15"/>
        <v>-1.0465986120723472E-3</v>
      </c>
    </row>
    <row r="473" spans="2:8">
      <c r="B473" s="76">
        <v>43781</v>
      </c>
      <c r="C473" s="77">
        <v>24.75</v>
      </c>
      <c r="D473" s="79">
        <f t="shared" si="14"/>
        <v>1.6009810508628448E-2</v>
      </c>
      <c r="F473" s="76">
        <v>43781</v>
      </c>
      <c r="G473" s="78">
        <v>38.220001000000003</v>
      </c>
      <c r="H473" s="79">
        <f t="shared" si="15"/>
        <v>1.0476951283395423E-3</v>
      </c>
    </row>
    <row r="474" spans="2:8">
      <c r="B474" s="76">
        <v>43782</v>
      </c>
      <c r="C474" s="77">
        <v>24.76</v>
      </c>
      <c r="D474" s="79">
        <f t="shared" si="14"/>
        <v>4.0404040404046719E-4</v>
      </c>
      <c r="F474" s="76">
        <v>43782</v>
      </c>
      <c r="G474" s="78">
        <v>38.259998000000003</v>
      </c>
      <c r="H474" s="79">
        <f t="shared" si="15"/>
        <v>1.0464939548274635E-3</v>
      </c>
    </row>
    <row r="475" spans="2:8">
      <c r="B475" s="76">
        <v>43783</v>
      </c>
      <c r="C475" s="77">
        <v>25.24</v>
      </c>
      <c r="D475" s="79">
        <f t="shared" si="14"/>
        <v>1.9386106623586301E-2</v>
      </c>
      <c r="F475" s="76">
        <v>43783</v>
      </c>
      <c r="G475" s="78">
        <v>38.270000000000003</v>
      </c>
      <c r="H475" s="79">
        <f t="shared" si="15"/>
        <v>2.6142186416214832E-4</v>
      </c>
    </row>
    <row r="476" spans="2:8">
      <c r="B476" s="76">
        <v>43784</v>
      </c>
      <c r="C476" s="77">
        <v>25.049999</v>
      </c>
      <c r="D476" s="79">
        <f t="shared" si="14"/>
        <v>-7.5277733755942456E-3</v>
      </c>
      <c r="F476" s="76">
        <v>43784</v>
      </c>
      <c r="G476" s="78">
        <v>38.590000000000003</v>
      </c>
      <c r="H476" s="79">
        <f t="shared" si="15"/>
        <v>8.3616409720407691E-3</v>
      </c>
    </row>
    <row r="477" spans="2:8">
      <c r="B477" s="76">
        <v>43787</v>
      </c>
      <c r="C477" s="77">
        <v>25.34</v>
      </c>
      <c r="D477" s="79">
        <f t="shared" si="14"/>
        <v>1.1576886689696083E-2</v>
      </c>
      <c r="F477" s="76">
        <v>43787</v>
      </c>
      <c r="G477" s="78">
        <v>38.580002</v>
      </c>
      <c r="H477" s="79">
        <f t="shared" si="15"/>
        <v>-2.5908266390264472E-4</v>
      </c>
    </row>
    <row r="478" spans="2:8">
      <c r="B478" s="76">
        <v>43788</v>
      </c>
      <c r="C478" s="77">
        <v>25.379999000000002</v>
      </c>
      <c r="D478" s="79">
        <f t="shared" si="14"/>
        <v>1.5784925019732309E-3</v>
      </c>
      <c r="F478" s="76">
        <v>43788</v>
      </c>
      <c r="G478" s="78">
        <v>38.619999</v>
      </c>
      <c r="H478" s="79">
        <f t="shared" si="15"/>
        <v>1.0367288213204244E-3</v>
      </c>
    </row>
    <row r="479" spans="2:8">
      <c r="B479" s="76">
        <v>43789</v>
      </c>
      <c r="C479" s="77">
        <v>25.360001</v>
      </c>
      <c r="D479" s="79">
        <f t="shared" si="14"/>
        <v>-7.8794329345722471E-4</v>
      </c>
      <c r="F479" s="76">
        <v>43789</v>
      </c>
      <c r="G479" s="78">
        <v>38.479999999999997</v>
      </c>
      <c r="H479" s="79">
        <f t="shared" si="15"/>
        <v>-3.625038933843657E-3</v>
      </c>
    </row>
    <row r="480" spans="2:8">
      <c r="B480" s="76">
        <v>43790</v>
      </c>
      <c r="C480" s="77">
        <v>24.860001</v>
      </c>
      <c r="D480" s="79">
        <f t="shared" si="14"/>
        <v>-1.971608755062746E-2</v>
      </c>
      <c r="F480" s="76">
        <v>43790</v>
      </c>
      <c r="G480" s="78">
        <v>38.400002000000001</v>
      </c>
      <c r="H480" s="79">
        <f t="shared" si="15"/>
        <v>-2.0789501039500066E-3</v>
      </c>
    </row>
    <row r="481" spans="2:8">
      <c r="B481" s="76">
        <v>43791</v>
      </c>
      <c r="C481" s="77">
        <v>25.02</v>
      </c>
      <c r="D481" s="79">
        <f t="shared" si="14"/>
        <v>6.4360013501205855E-3</v>
      </c>
      <c r="F481" s="76">
        <v>43791</v>
      </c>
      <c r="G481" s="78">
        <v>38.520000000000003</v>
      </c>
      <c r="H481" s="79">
        <f t="shared" si="15"/>
        <v>3.1249477539090358E-3</v>
      </c>
    </row>
    <row r="482" spans="2:8">
      <c r="B482" s="76">
        <v>43794</v>
      </c>
      <c r="C482" s="77">
        <v>25.52</v>
      </c>
      <c r="D482" s="79">
        <f t="shared" si="14"/>
        <v>1.9984012789768187E-2</v>
      </c>
      <c r="F482" s="76">
        <v>43794</v>
      </c>
      <c r="G482" s="78">
        <v>38.869999</v>
      </c>
      <c r="H482" s="79">
        <f t="shared" si="15"/>
        <v>9.0861630321909873E-3</v>
      </c>
    </row>
    <row r="483" spans="2:8">
      <c r="B483" s="76">
        <v>43795</v>
      </c>
      <c r="C483" s="77">
        <v>25.719999000000001</v>
      </c>
      <c r="D483" s="79">
        <f t="shared" si="14"/>
        <v>7.8369514106583788E-3</v>
      </c>
      <c r="F483" s="76">
        <v>43795</v>
      </c>
      <c r="G483" s="78">
        <v>38.93</v>
      </c>
      <c r="H483" s="79">
        <f t="shared" si="15"/>
        <v>1.5436326612717369E-3</v>
      </c>
    </row>
    <row r="484" spans="2:8">
      <c r="B484" s="76">
        <v>43796</v>
      </c>
      <c r="C484" s="77">
        <v>25.9</v>
      </c>
      <c r="D484" s="79">
        <f t="shared" si="14"/>
        <v>6.9984839423981775E-3</v>
      </c>
      <c r="F484" s="76">
        <v>43796</v>
      </c>
      <c r="G484" s="78">
        <v>39.110000999999997</v>
      </c>
      <c r="H484" s="79">
        <f t="shared" si="15"/>
        <v>4.6237092216798665E-3</v>
      </c>
    </row>
    <row r="485" spans="2:8">
      <c r="B485" s="76">
        <v>43798</v>
      </c>
      <c r="C485" s="77">
        <v>25.41</v>
      </c>
      <c r="D485" s="79">
        <f t="shared" si="14"/>
        <v>-1.8918918918918861E-2</v>
      </c>
      <c r="F485" s="76">
        <v>43798</v>
      </c>
      <c r="G485" s="78">
        <v>38.950001</v>
      </c>
      <c r="H485" s="79">
        <f t="shared" si="15"/>
        <v>-4.0910252086159907E-3</v>
      </c>
    </row>
    <row r="486" spans="2:8">
      <c r="B486" s="76">
        <v>43801</v>
      </c>
      <c r="C486" s="77">
        <v>25.139999</v>
      </c>
      <c r="D486" s="79">
        <f t="shared" si="14"/>
        <v>-1.0625777253050004E-2</v>
      </c>
      <c r="F486" s="76">
        <v>43801</v>
      </c>
      <c r="G486" s="78">
        <v>38.630001</v>
      </c>
      <c r="H486" s="79">
        <f t="shared" si="15"/>
        <v>-8.2156608930510754E-3</v>
      </c>
    </row>
    <row r="487" spans="2:8">
      <c r="B487" s="76">
        <v>43802</v>
      </c>
      <c r="C487" s="77">
        <v>25.18</v>
      </c>
      <c r="D487" s="79">
        <f t="shared" si="14"/>
        <v>1.5911297371173393E-3</v>
      </c>
      <c r="F487" s="76">
        <v>43802</v>
      </c>
      <c r="G487" s="78">
        <v>38.380001</v>
      </c>
      <c r="H487" s="79">
        <f t="shared" si="15"/>
        <v>-6.4716539872727418E-3</v>
      </c>
    </row>
    <row r="488" spans="2:8">
      <c r="B488" s="76">
        <v>43803</v>
      </c>
      <c r="C488" s="77">
        <v>25.219999000000001</v>
      </c>
      <c r="D488" s="79">
        <f t="shared" si="14"/>
        <v>1.5885226370135693E-3</v>
      </c>
      <c r="F488" s="76">
        <v>43803</v>
      </c>
      <c r="G488" s="78">
        <v>38.580002</v>
      </c>
      <c r="H488" s="79">
        <f t="shared" si="15"/>
        <v>5.2110733399928864E-3</v>
      </c>
    </row>
    <row r="489" spans="2:8">
      <c r="B489" s="76">
        <v>43804</v>
      </c>
      <c r="C489" s="77">
        <v>25.690000999999999</v>
      </c>
      <c r="D489" s="79">
        <f t="shared" si="14"/>
        <v>1.863608321316735E-2</v>
      </c>
      <c r="F489" s="76">
        <v>43804</v>
      </c>
      <c r="G489" s="78">
        <v>38.659999999999997</v>
      </c>
      <c r="H489" s="79">
        <f t="shared" si="15"/>
        <v>2.0735613232989525E-3</v>
      </c>
    </row>
    <row r="490" spans="2:8">
      <c r="B490" s="76">
        <v>43805</v>
      </c>
      <c r="C490" s="77">
        <v>25.299999</v>
      </c>
      <c r="D490" s="79">
        <f t="shared" si="14"/>
        <v>-1.5181081542192196E-2</v>
      </c>
      <c r="F490" s="76">
        <v>43805</v>
      </c>
      <c r="G490" s="78">
        <v>39</v>
      </c>
      <c r="H490" s="79">
        <f t="shared" si="15"/>
        <v>8.7946197620280241E-3</v>
      </c>
    </row>
    <row r="491" spans="2:8">
      <c r="B491" s="76">
        <v>43808</v>
      </c>
      <c r="C491" s="77">
        <v>25.690000999999999</v>
      </c>
      <c r="D491" s="79">
        <f t="shared" si="14"/>
        <v>1.5415099423521679E-2</v>
      </c>
      <c r="F491" s="76">
        <v>43808</v>
      </c>
      <c r="G491" s="78">
        <v>38.860000999999997</v>
      </c>
      <c r="H491" s="79">
        <f t="shared" si="15"/>
        <v>-3.5897179487180278E-3</v>
      </c>
    </row>
    <row r="492" spans="2:8">
      <c r="B492" s="76">
        <v>43809</v>
      </c>
      <c r="C492" s="77">
        <v>25.67</v>
      </c>
      <c r="D492" s="79">
        <f t="shared" si="14"/>
        <v>-7.7855193543966967E-4</v>
      </c>
      <c r="F492" s="76">
        <v>43809</v>
      </c>
      <c r="G492" s="78">
        <v>38.860000999999997</v>
      </c>
      <c r="H492" s="79">
        <f t="shared" si="15"/>
        <v>0</v>
      </c>
    </row>
    <row r="493" spans="2:8">
      <c r="B493" s="76">
        <v>43810</v>
      </c>
      <c r="C493" s="77">
        <v>25.92</v>
      </c>
      <c r="D493" s="79">
        <f t="shared" si="14"/>
        <v>9.7389949357226321E-3</v>
      </c>
      <c r="F493" s="76">
        <v>43810</v>
      </c>
      <c r="G493" s="78">
        <v>38.950001</v>
      </c>
      <c r="H493" s="79">
        <f t="shared" si="15"/>
        <v>2.3160061164178409E-3</v>
      </c>
    </row>
    <row r="494" spans="2:8">
      <c r="B494" s="76">
        <v>43811</v>
      </c>
      <c r="C494" s="77">
        <v>25.299999</v>
      </c>
      <c r="D494" s="79">
        <f t="shared" si="14"/>
        <v>-2.3919791666666742E-2</v>
      </c>
      <c r="F494" s="76">
        <v>43811</v>
      </c>
      <c r="G494" s="78">
        <v>39.25</v>
      </c>
      <c r="H494" s="79">
        <f t="shared" si="15"/>
        <v>7.7021564132950778E-3</v>
      </c>
    </row>
    <row r="495" spans="2:8">
      <c r="B495" s="76">
        <v>43812</v>
      </c>
      <c r="C495" s="77">
        <v>25.360001</v>
      </c>
      <c r="D495" s="79">
        <f t="shared" si="14"/>
        <v>2.3716206470996612E-3</v>
      </c>
      <c r="F495" s="76">
        <v>43812</v>
      </c>
      <c r="G495" s="78">
        <v>39.25</v>
      </c>
      <c r="H495" s="79">
        <f t="shared" si="15"/>
        <v>0</v>
      </c>
    </row>
    <row r="496" spans="2:8">
      <c r="B496" s="76">
        <v>43815</v>
      </c>
      <c r="C496" s="77">
        <v>25.33</v>
      </c>
      <c r="D496" s="79">
        <f t="shared" si="14"/>
        <v>-1.1830046852128343E-3</v>
      </c>
      <c r="F496" s="76">
        <v>43815</v>
      </c>
      <c r="G496" s="78">
        <v>39.549999</v>
      </c>
      <c r="H496" s="79">
        <f t="shared" si="15"/>
        <v>7.6432866242038136E-3</v>
      </c>
    </row>
    <row r="497" spans="2:8">
      <c r="B497" s="76">
        <v>43816</v>
      </c>
      <c r="C497" s="77">
        <v>25.540001</v>
      </c>
      <c r="D497" s="79">
        <f t="shared" si="14"/>
        <v>8.2906040268457132E-3</v>
      </c>
      <c r="F497" s="76">
        <v>43816</v>
      </c>
      <c r="G497" s="78">
        <v>39.549999</v>
      </c>
      <c r="H497" s="79">
        <f t="shared" si="15"/>
        <v>0</v>
      </c>
    </row>
    <row r="498" spans="2:8">
      <c r="B498" s="76">
        <v>43817</v>
      </c>
      <c r="C498" s="77">
        <v>25.24</v>
      </c>
      <c r="D498" s="79">
        <f t="shared" si="14"/>
        <v>-1.1746319038906919E-2</v>
      </c>
      <c r="F498" s="76">
        <v>43817</v>
      </c>
      <c r="G498" s="78">
        <v>39.599997999999999</v>
      </c>
      <c r="H498" s="79">
        <f t="shared" si="15"/>
        <v>1.2641972506750173E-3</v>
      </c>
    </row>
    <row r="499" spans="2:8">
      <c r="B499" s="76">
        <v>43818</v>
      </c>
      <c r="C499" s="77">
        <v>24.84</v>
      </c>
      <c r="D499" s="79">
        <f t="shared" si="14"/>
        <v>-1.5847860538827203E-2</v>
      </c>
      <c r="F499" s="76">
        <v>43818</v>
      </c>
      <c r="G499" s="78">
        <v>39.75</v>
      </c>
      <c r="H499" s="79">
        <f t="shared" si="15"/>
        <v>3.7879294842388788E-3</v>
      </c>
    </row>
    <row r="500" spans="2:8">
      <c r="B500" s="76">
        <v>43819</v>
      </c>
      <c r="C500" s="77">
        <v>24.91</v>
      </c>
      <c r="D500" s="79">
        <f t="shared" si="14"/>
        <v>2.8180354267310906E-3</v>
      </c>
      <c r="F500" s="76">
        <v>43819</v>
      </c>
      <c r="G500" s="78">
        <v>39.779998999999997</v>
      </c>
      <c r="H500" s="79">
        <f t="shared" si="15"/>
        <v>7.5469182389928445E-4</v>
      </c>
    </row>
    <row r="501" spans="2:8">
      <c r="B501" s="76">
        <v>43822</v>
      </c>
      <c r="C501" s="77">
        <v>24.940000999999999</v>
      </c>
      <c r="D501" s="79">
        <f t="shared" si="14"/>
        <v>1.2043757527096994E-3</v>
      </c>
      <c r="F501" s="76">
        <v>43822</v>
      </c>
      <c r="G501" s="78">
        <v>39.779998999999997</v>
      </c>
      <c r="H501" s="79">
        <f t="shared" si="15"/>
        <v>0</v>
      </c>
    </row>
    <row r="502" spans="2:8">
      <c r="B502" s="76">
        <v>43823</v>
      </c>
      <c r="C502" s="77">
        <v>25.43</v>
      </c>
      <c r="D502" s="79">
        <f t="shared" si="14"/>
        <v>1.9647112283596179E-2</v>
      </c>
      <c r="F502" s="76">
        <v>43823</v>
      </c>
      <c r="G502" s="78">
        <v>39.830002</v>
      </c>
      <c r="H502" s="79">
        <f t="shared" si="15"/>
        <v>1.2569884679988E-3</v>
      </c>
    </row>
    <row r="503" spans="2:8">
      <c r="B503" s="76">
        <v>43825</v>
      </c>
      <c r="C503" s="77">
        <v>25.389999</v>
      </c>
      <c r="D503" s="79">
        <f t="shared" si="14"/>
        <v>-1.5729846637829404E-3</v>
      </c>
      <c r="F503" s="76">
        <v>43825</v>
      </c>
      <c r="G503" s="78">
        <v>39.970001000000003</v>
      </c>
      <c r="H503" s="79">
        <f t="shared" si="15"/>
        <v>3.5149132053772705E-3</v>
      </c>
    </row>
    <row r="504" spans="2:8">
      <c r="B504" s="76">
        <v>43826</v>
      </c>
      <c r="C504" s="77">
        <v>25.450001</v>
      </c>
      <c r="D504" s="79">
        <f t="shared" si="14"/>
        <v>2.3632139568024709E-3</v>
      </c>
      <c r="F504" s="76">
        <v>43826</v>
      </c>
      <c r="G504" s="78">
        <v>39.950001</v>
      </c>
      <c r="H504" s="79">
        <f t="shared" si="15"/>
        <v>-5.0037526894240324E-4</v>
      </c>
    </row>
    <row r="505" spans="2:8">
      <c r="B505" s="76">
        <v>43829</v>
      </c>
      <c r="C505" s="77">
        <v>25.43</v>
      </c>
      <c r="D505" s="79">
        <f t="shared" si="14"/>
        <v>-7.8589387874682603E-4</v>
      </c>
      <c r="F505" s="76">
        <v>43829</v>
      </c>
      <c r="G505" s="78">
        <v>39.770000000000003</v>
      </c>
      <c r="H505" s="79">
        <f t="shared" si="15"/>
        <v>-4.5056569585567013E-3</v>
      </c>
    </row>
    <row r="506" spans="2:8">
      <c r="B506" s="76">
        <v>43830</v>
      </c>
      <c r="C506" s="77">
        <v>25.41</v>
      </c>
      <c r="D506" s="79">
        <f t="shared" si="14"/>
        <v>-7.8647267007469818E-4</v>
      </c>
      <c r="F506" s="76">
        <v>43830</v>
      </c>
      <c r="G506" s="78">
        <v>39.860000999999997</v>
      </c>
      <c r="H506" s="79">
        <f t="shared" si="15"/>
        <v>2.2630374654260439E-3</v>
      </c>
    </row>
    <row r="507" spans="2:8">
      <c r="B507" s="76">
        <v>43832</v>
      </c>
      <c r="C507" s="77">
        <v>25.41</v>
      </c>
      <c r="D507" s="79">
        <f t="shared" si="14"/>
        <v>0</v>
      </c>
      <c r="F507" s="76">
        <v>43832</v>
      </c>
      <c r="G507" s="78">
        <v>40.18</v>
      </c>
      <c r="H507" s="79">
        <f t="shared" si="15"/>
        <v>8.0280730549907118E-3</v>
      </c>
    </row>
    <row r="508" spans="2:8">
      <c r="B508" s="76">
        <v>43833</v>
      </c>
      <c r="C508" s="77">
        <v>25.219999000000001</v>
      </c>
      <c r="D508" s="79">
        <f t="shared" si="14"/>
        <v>-7.4774104683195102E-3</v>
      </c>
      <c r="F508" s="76">
        <v>43833</v>
      </c>
      <c r="G508" s="78">
        <v>39.939999</v>
      </c>
      <c r="H508" s="79">
        <f t="shared" si="15"/>
        <v>-5.9731458437033216E-3</v>
      </c>
    </row>
    <row r="509" spans="2:8">
      <c r="B509" s="76">
        <v>43836</v>
      </c>
      <c r="C509" s="77">
        <v>25.74</v>
      </c>
      <c r="D509" s="79">
        <f t="shared" si="14"/>
        <v>2.0618597169650841E-2</v>
      </c>
      <c r="F509" s="76">
        <v>43836</v>
      </c>
      <c r="G509" s="78">
        <v>40.080002</v>
      </c>
      <c r="H509" s="79">
        <f t="shared" si="15"/>
        <v>3.505333087264226E-3</v>
      </c>
    </row>
    <row r="510" spans="2:8">
      <c r="B510" s="76">
        <v>43837</v>
      </c>
      <c r="C510" s="77">
        <v>25.93</v>
      </c>
      <c r="D510" s="79">
        <f t="shared" si="14"/>
        <v>7.3815073815074314E-3</v>
      </c>
      <c r="F510" s="76">
        <v>43837</v>
      </c>
      <c r="G510" s="78">
        <v>39.970001000000003</v>
      </c>
      <c r="H510" s="79">
        <f t="shared" si="15"/>
        <v>-2.7445357911907516E-3</v>
      </c>
    </row>
    <row r="511" spans="2:8">
      <c r="B511" s="76">
        <v>43838</v>
      </c>
      <c r="C511" s="77">
        <v>26.190000999999999</v>
      </c>
      <c r="D511" s="79">
        <f t="shared" si="14"/>
        <v>1.0027034323177749E-2</v>
      </c>
      <c r="F511" s="76">
        <v>43838</v>
      </c>
      <c r="G511" s="78">
        <v>40.139999000000003</v>
      </c>
      <c r="H511" s="79">
        <f t="shared" si="15"/>
        <v>4.2531397484828594E-3</v>
      </c>
    </row>
    <row r="512" spans="2:8">
      <c r="B512" s="76">
        <v>43839</v>
      </c>
      <c r="C512" s="77">
        <v>26.290001</v>
      </c>
      <c r="D512" s="79">
        <f t="shared" si="14"/>
        <v>3.818251095141288E-3</v>
      </c>
      <c r="F512" s="76">
        <v>43839</v>
      </c>
      <c r="G512" s="78">
        <v>40.389999000000003</v>
      </c>
      <c r="H512" s="79">
        <f t="shared" si="15"/>
        <v>6.228201450627838E-3</v>
      </c>
    </row>
    <row r="513" spans="2:8">
      <c r="B513" s="76">
        <v>43840</v>
      </c>
      <c r="C513" s="77">
        <v>26.370000999999998</v>
      </c>
      <c r="D513" s="79">
        <f t="shared" si="14"/>
        <v>3.0429820067332173E-3</v>
      </c>
      <c r="F513" s="76">
        <v>43840</v>
      </c>
      <c r="G513" s="78">
        <v>40.299999</v>
      </c>
      <c r="H513" s="79">
        <f t="shared" si="15"/>
        <v>-2.2282743804970979E-3</v>
      </c>
    </row>
    <row r="514" spans="2:8">
      <c r="B514" s="76">
        <v>43843</v>
      </c>
      <c r="C514" s="77">
        <v>26.790001</v>
      </c>
      <c r="D514" s="79">
        <f t="shared" si="14"/>
        <v>1.5927189384634523E-2</v>
      </c>
      <c r="F514" s="76">
        <v>43843</v>
      </c>
      <c r="G514" s="78">
        <v>40.590000000000003</v>
      </c>
      <c r="H514" s="79">
        <f t="shared" si="15"/>
        <v>7.1960547691329651E-3</v>
      </c>
    </row>
    <row r="515" spans="2:8">
      <c r="B515" s="76">
        <v>43844</v>
      </c>
      <c r="C515" s="77">
        <v>26.43</v>
      </c>
      <c r="D515" s="79">
        <f t="shared" si="14"/>
        <v>-1.3437886769769081E-2</v>
      </c>
      <c r="F515" s="76">
        <v>43844</v>
      </c>
      <c r="G515" s="78">
        <v>40.529998999999997</v>
      </c>
      <c r="H515" s="79">
        <f t="shared" si="15"/>
        <v>-1.4782212367579909E-3</v>
      </c>
    </row>
    <row r="516" spans="2:8">
      <c r="B516" s="76">
        <v>43845</v>
      </c>
      <c r="C516" s="77">
        <v>27.110001</v>
      </c>
      <c r="D516" s="79">
        <f t="shared" si="14"/>
        <v>2.5728376844494919E-2</v>
      </c>
      <c r="F516" s="76">
        <v>43845</v>
      </c>
      <c r="G516" s="78">
        <v>40.630001</v>
      </c>
      <c r="H516" s="79">
        <f t="shared" si="15"/>
        <v>2.4673575738307688E-3</v>
      </c>
    </row>
    <row r="517" spans="2:8">
      <c r="B517" s="76">
        <v>43846</v>
      </c>
      <c r="C517" s="77">
        <v>27.030000999999999</v>
      </c>
      <c r="D517" s="79">
        <f t="shared" si="14"/>
        <v>-2.950940503469618E-3</v>
      </c>
      <c r="F517" s="76">
        <v>43846</v>
      </c>
      <c r="G517" s="78">
        <v>40.98</v>
      </c>
      <c r="H517" s="79">
        <f t="shared" si="15"/>
        <v>8.6142995664705204E-3</v>
      </c>
    </row>
    <row r="518" spans="2:8">
      <c r="B518" s="76">
        <v>43847</v>
      </c>
      <c r="C518" s="77">
        <v>26.82</v>
      </c>
      <c r="D518" s="79">
        <f t="shared" ref="D518:D581" si="16">(C518-C517)/C517</f>
        <v>-7.7691821025089244E-3</v>
      </c>
      <c r="F518" s="76">
        <v>43847</v>
      </c>
      <c r="G518" s="78">
        <v>41.07</v>
      </c>
      <c r="H518" s="79">
        <f t="shared" ref="H518:H581" si="17">(G518-G517)/G517</f>
        <v>2.196193265007404E-3</v>
      </c>
    </row>
    <row r="519" spans="2:8">
      <c r="B519" s="76">
        <v>43851</v>
      </c>
      <c r="C519" s="77">
        <v>27.129999000000002</v>
      </c>
      <c r="D519" s="79">
        <f t="shared" si="16"/>
        <v>1.1558501118568279E-2</v>
      </c>
      <c r="F519" s="76">
        <v>43851</v>
      </c>
      <c r="G519" s="78">
        <v>40.970001000000003</v>
      </c>
      <c r="H519" s="79">
        <f t="shared" si="17"/>
        <v>-2.4348429510590904E-3</v>
      </c>
    </row>
    <row r="520" spans="2:8">
      <c r="B520" s="76">
        <v>43852</v>
      </c>
      <c r="C520" s="77">
        <v>26.870000999999998</v>
      </c>
      <c r="D520" s="79">
        <f t="shared" si="16"/>
        <v>-9.5834135489648586E-3</v>
      </c>
      <c r="F520" s="76">
        <v>43852</v>
      </c>
      <c r="G520" s="78">
        <v>41.009998000000003</v>
      </c>
      <c r="H520" s="79">
        <f t="shared" si="17"/>
        <v>9.7625089147543862E-4</v>
      </c>
    </row>
    <row r="521" spans="2:8">
      <c r="B521" s="76">
        <v>43853</v>
      </c>
      <c r="C521" s="77">
        <v>26.92</v>
      </c>
      <c r="D521" s="79">
        <f t="shared" si="16"/>
        <v>1.860774028255646E-3</v>
      </c>
      <c r="F521" s="76">
        <v>43853</v>
      </c>
      <c r="G521" s="78">
        <v>41.060001</v>
      </c>
      <c r="H521" s="79">
        <f t="shared" si="17"/>
        <v>1.2192880380047003E-3</v>
      </c>
    </row>
    <row r="522" spans="2:8">
      <c r="B522" s="76">
        <v>43854</v>
      </c>
      <c r="C522" s="77">
        <v>26.35</v>
      </c>
      <c r="D522" s="79">
        <f t="shared" si="16"/>
        <v>-2.1173848439821702E-2</v>
      </c>
      <c r="F522" s="76">
        <v>43854</v>
      </c>
      <c r="G522" s="78">
        <v>40.650002000000001</v>
      </c>
      <c r="H522" s="79">
        <f t="shared" si="17"/>
        <v>-9.9853626403954322E-3</v>
      </c>
    </row>
    <row r="523" spans="2:8">
      <c r="B523" s="76">
        <v>43857</v>
      </c>
      <c r="C523" s="77">
        <v>26.48</v>
      </c>
      <c r="D523" s="79">
        <f t="shared" si="16"/>
        <v>4.9335863377608724E-3</v>
      </c>
      <c r="F523" s="76">
        <v>43857</v>
      </c>
      <c r="G523" s="78">
        <v>40.060001</v>
      </c>
      <c r="H523" s="79">
        <f t="shared" si="17"/>
        <v>-1.4514169027593182E-2</v>
      </c>
    </row>
    <row r="524" spans="2:8">
      <c r="B524" s="76">
        <v>43858</v>
      </c>
      <c r="C524" s="77">
        <v>26.99</v>
      </c>
      <c r="D524" s="79">
        <f t="shared" si="16"/>
        <v>1.9259818731117748E-2</v>
      </c>
      <c r="F524" s="76">
        <v>43858</v>
      </c>
      <c r="G524" s="78">
        <v>40.450001</v>
      </c>
      <c r="H524" s="79">
        <f t="shared" si="17"/>
        <v>9.7353966616226632E-3</v>
      </c>
    </row>
    <row r="525" spans="2:8">
      <c r="B525" s="76">
        <v>43859</v>
      </c>
      <c r="C525" s="77">
        <v>26.360001</v>
      </c>
      <c r="D525" s="79">
        <f t="shared" si="16"/>
        <v>-2.3341941459799852E-2</v>
      </c>
      <c r="F525" s="76">
        <v>43859</v>
      </c>
      <c r="G525" s="78">
        <v>40.380001</v>
      </c>
      <c r="H525" s="79">
        <f t="shared" si="17"/>
        <v>-1.7305314776135676E-3</v>
      </c>
    </row>
    <row r="526" spans="2:8">
      <c r="B526" s="76">
        <v>43860</v>
      </c>
      <c r="C526" s="77">
        <v>26.08</v>
      </c>
      <c r="D526" s="79">
        <f t="shared" si="16"/>
        <v>-1.062219231327048E-2</v>
      </c>
      <c r="F526" s="76">
        <v>43860</v>
      </c>
      <c r="G526" s="78">
        <v>40.529998999999997</v>
      </c>
      <c r="H526" s="79">
        <f t="shared" si="17"/>
        <v>3.7146606311375904E-3</v>
      </c>
    </row>
    <row r="527" spans="2:8">
      <c r="B527" s="76">
        <v>43861</v>
      </c>
      <c r="C527" s="77">
        <v>24.799999</v>
      </c>
      <c r="D527" s="79">
        <f t="shared" si="16"/>
        <v>-4.9079792944785226E-2</v>
      </c>
      <c r="F527" s="76">
        <v>43861</v>
      </c>
      <c r="G527" s="78">
        <v>39.779998999999997</v>
      </c>
      <c r="H527" s="79">
        <f t="shared" si="17"/>
        <v>-1.8504811707495971E-2</v>
      </c>
    </row>
    <row r="528" spans="2:8">
      <c r="B528" s="76">
        <v>43864</v>
      </c>
      <c r="C528" s="77">
        <v>24.65</v>
      </c>
      <c r="D528" s="79">
        <f t="shared" si="16"/>
        <v>-6.0483470180785533E-3</v>
      </c>
      <c r="F528" s="76">
        <v>43864</v>
      </c>
      <c r="G528" s="78">
        <v>40.090000000000003</v>
      </c>
      <c r="H528" s="79">
        <f t="shared" si="17"/>
        <v>7.7928860681974093E-3</v>
      </c>
    </row>
    <row r="529" spans="2:8">
      <c r="B529" s="76">
        <v>43865</v>
      </c>
      <c r="C529" s="77">
        <v>25.059999000000001</v>
      </c>
      <c r="D529" s="79">
        <f t="shared" si="16"/>
        <v>1.6632819472616741E-2</v>
      </c>
      <c r="F529" s="76">
        <v>43865</v>
      </c>
      <c r="G529" s="78">
        <v>40.700001</v>
      </c>
      <c r="H529" s="79">
        <f t="shared" si="17"/>
        <v>1.5215789473684132E-2</v>
      </c>
    </row>
    <row r="530" spans="2:8">
      <c r="B530" s="76">
        <v>43866</v>
      </c>
      <c r="C530" s="77">
        <v>26.1</v>
      </c>
      <c r="D530" s="79">
        <f t="shared" si="16"/>
        <v>4.1500440602571458E-2</v>
      </c>
      <c r="F530" s="76">
        <v>43866</v>
      </c>
      <c r="G530" s="78">
        <v>41.139999000000003</v>
      </c>
      <c r="H530" s="79">
        <f t="shared" si="17"/>
        <v>1.0810761405141065E-2</v>
      </c>
    </row>
    <row r="531" spans="2:8">
      <c r="B531" s="76">
        <v>43867</v>
      </c>
      <c r="C531" s="77">
        <v>25.110001</v>
      </c>
      <c r="D531" s="79">
        <f t="shared" si="16"/>
        <v>-3.7930996168582413E-2</v>
      </c>
      <c r="F531" s="76">
        <v>43867</v>
      </c>
      <c r="G531" s="78">
        <v>41.25</v>
      </c>
      <c r="H531" s="79">
        <f t="shared" si="17"/>
        <v>2.6738211636805559E-3</v>
      </c>
    </row>
    <row r="532" spans="2:8">
      <c r="B532" s="76">
        <v>43868</v>
      </c>
      <c r="C532" s="77">
        <v>24.530000999999999</v>
      </c>
      <c r="D532" s="79">
        <f t="shared" si="16"/>
        <v>-2.3098366264501617E-2</v>
      </c>
      <c r="F532" s="76">
        <v>43868</v>
      </c>
      <c r="G532" s="78">
        <v>41.029998999999997</v>
      </c>
      <c r="H532" s="79">
        <f t="shared" si="17"/>
        <v>-5.3333575757576589E-3</v>
      </c>
    </row>
    <row r="533" spans="2:8">
      <c r="B533" s="76">
        <v>43871</v>
      </c>
      <c r="C533" s="77">
        <v>25.110001</v>
      </c>
      <c r="D533" s="79">
        <f t="shared" si="16"/>
        <v>2.3644515954157602E-2</v>
      </c>
      <c r="F533" s="76">
        <v>43871</v>
      </c>
      <c r="G533" s="78">
        <v>41.34</v>
      </c>
      <c r="H533" s="79">
        <f t="shared" si="17"/>
        <v>7.5554717902870747E-3</v>
      </c>
    </row>
    <row r="534" spans="2:8">
      <c r="B534" s="76">
        <v>43872</v>
      </c>
      <c r="C534" s="77">
        <v>25.610001</v>
      </c>
      <c r="D534" s="79">
        <f t="shared" si="16"/>
        <v>1.9912384710777192E-2</v>
      </c>
      <c r="F534" s="76">
        <v>43872</v>
      </c>
      <c r="G534" s="78">
        <v>41.43</v>
      </c>
      <c r="H534" s="79">
        <f t="shared" si="17"/>
        <v>2.1770682148039744E-3</v>
      </c>
    </row>
    <row r="535" spans="2:8">
      <c r="B535" s="76">
        <v>43873</v>
      </c>
      <c r="C535" s="77">
        <v>26.68</v>
      </c>
      <c r="D535" s="79">
        <f t="shared" si="16"/>
        <v>4.178051379224855E-2</v>
      </c>
      <c r="F535" s="76">
        <v>43873</v>
      </c>
      <c r="G535" s="78">
        <v>41.700001</v>
      </c>
      <c r="H535" s="79">
        <f t="shared" si="17"/>
        <v>6.517040791696853E-3</v>
      </c>
    </row>
    <row r="536" spans="2:8">
      <c r="B536" s="76">
        <v>43874</v>
      </c>
      <c r="C536" s="77">
        <v>27.700001</v>
      </c>
      <c r="D536" s="79">
        <f t="shared" si="16"/>
        <v>3.8230922038980535E-2</v>
      </c>
      <c r="F536" s="76">
        <v>43874</v>
      </c>
      <c r="G536" s="78">
        <v>41.650002000000001</v>
      </c>
      <c r="H536" s="79">
        <f t="shared" si="17"/>
        <v>-1.1990167578173362E-3</v>
      </c>
    </row>
    <row r="537" spans="2:8">
      <c r="B537" s="76">
        <v>43875</v>
      </c>
      <c r="C537" s="77">
        <v>27.190000999999999</v>
      </c>
      <c r="D537" s="79">
        <f t="shared" si="16"/>
        <v>-1.8411551681893498E-2</v>
      </c>
      <c r="F537" s="76">
        <v>43875</v>
      </c>
      <c r="G537" s="78">
        <v>41.709999000000003</v>
      </c>
      <c r="H537" s="79">
        <f t="shared" si="17"/>
        <v>1.4405041325088711E-3</v>
      </c>
    </row>
    <row r="538" spans="2:8">
      <c r="B538" s="76">
        <v>43879</v>
      </c>
      <c r="C538" s="77">
        <v>27.27</v>
      </c>
      <c r="D538" s="79">
        <f t="shared" si="16"/>
        <v>2.9422212967186293E-3</v>
      </c>
      <c r="F538" s="76">
        <v>43879</v>
      </c>
      <c r="G538" s="78">
        <v>41.580002</v>
      </c>
      <c r="H538" s="79">
        <f t="shared" si="17"/>
        <v>-3.1166867206111181E-3</v>
      </c>
    </row>
    <row r="539" spans="2:8">
      <c r="B539" s="76">
        <v>43880</v>
      </c>
      <c r="C539" s="77">
        <v>27.959999</v>
      </c>
      <c r="D539" s="79">
        <f t="shared" si="16"/>
        <v>2.5302493582691613E-2</v>
      </c>
      <c r="F539" s="76">
        <v>43880</v>
      </c>
      <c r="G539" s="78">
        <v>41.810001</v>
      </c>
      <c r="H539" s="79">
        <f t="shared" si="17"/>
        <v>5.5314812154169547E-3</v>
      </c>
    </row>
    <row r="540" spans="2:8">
      <c r="B540" s="76">
        <v>43881</v>
      </c>
      <c r="C540" s="77">
        <v>28.18</v>
      </c>
      <c r="D540" s="79">
        <f t="shared" si="16"/>
        <v>7.8684194516602055E-3</v>
      </c>
      <c r="F540" s="76">
        <v>43881</v>
      </c>
      <c r="G540" s="78">
        <v>41.669998</v>
      </c>
      <c r="H540" s="79">
        <f t="shared" si="17"/>
        <v>-3.3485528976667594E-3</v>
      </c>
    </row>
    <row r="541" spans="2:8">
      <c r="B541" s="76">
        <v>43882</v>
      </c>
      <c r="C541" s="77">
        <v>26.690000999999999</v>
      </c>
      <c r="D541" s="79">
        <f t="shared" si="16"/>
        <v>-5.2874343506032685E-2</v>
      </c>
      <c r="F541" s="76">
        <v>43882</v>
      </c>
      <c r="G541" s="78">
        <v>41.209999000000003</v>
      </c>
      <c r="H541" s="79">
        <f t="shared" si="17"/>
        <v>-1.1039093402404202E-2</v>
      </c>
    </row>
    <row r="542" spans="2:8">
      <c r="B542" s="76">
        <v>43885</v>
      </c>
      <c r="C542" s="77">
        <v>26.700001</v>
      </c>
      <c r="D542" s="79">
        <f t="shared" si="16"/>
        <v>3.7467214782051017E-4</v>
      </c>
      <c r="F542" s="76">
        <v>43885</v>
      </c>
      <c r="G542" s="78">
        <v>39.880001</v>
      </c>
      <c r="H542" s="79">
        <f t="shared" si="17"/>
        <v>-3.2273672222122678E-2</v>
      </c>
    </row>
    <row r="543" spans="2:8">
      <c r="B543" s="76">
        <v>43886</v>
      </c>
      <c r="C543" s="77">
        <v>24.719999000000001</v>
      </c>
      <c r="D543" s="79">
        <f t="shared" si="16"/>
        <v>-7.4157375499723718E-2</v>
      </c>
      <c r="F543" s="76">
        <v>43886</v>
      </c>
      <c r="G543" s="78">
        <v>38.630001</v>
      </c>
      <c r="H543" s="79">
        <f t="shared" si="17"/>
        <v>-3.1344031310330207E-2</v>
      </c>
    </row>
    <row r="544" spans="2:8">
      <c r="B544" s="76">
        <v>43887</v>
      </c>
      <c r="C544" s="77">
        <v>23.27</v>
      </c>
      <c r="D544" s="79">
        <f t="shared" si="16"/>
        <v>-5.8656919848580971E-2</v>
      </c>
      <c r="F544" s="76">
        <v>43887</v>
      </c>
      <c r="G544" s="78">
        <v>38.470001000000003</v>
      </c>
      <c r="H544" s="79">
        <f t="shared" si="17"/>
        <v>-4.1418585518544666E-3</v>
      </c>
    </row>
    <row r="545" spans="2:8">
      <c r="B545" s="76">
        <v>43888</v>
      </c>
      <c r="C545" s="77">
        <v>22.99</v>
      </c>
      <c r="D545" s="79">
        <f t="shared" si="16"/>
        <v>-1.2032660077352864E-2</v>
      </c>
      <c r="F545" s="76">
        <v>43888</v>
      </c>
      <c r="G545" s="78">
        <v>36.770000000000003</v>
      </c>
      <c r="H545" s="79">
        <f t="shared" si="17"/>
        <v>-4.4190302984395559E-2</v>
      </c>
    </row>
    <row r="546" spans="2:8">
      <c r="B546" s="76">
        <v>43889</v>
      </c>
      <c r="C546" s="77">
        <v>22.709999</v>
      </c>
      <c r="D546" s="79">
        <f t="shared" si="16"/>
        <v>-1.217925184862978E-2</v>
      </c>
      <c r="F546" s="76">
        <v>43889</v>
      </c>
      <c r="G546" s="78">
        <v>36.490001999999997</v>
      </c>
      <c r="H546" s="79">
        <f t="shared" si="17"/>
        <v>-7.6148490617352774E-3</v>
      </c>
    </row>
    <row r="547" spans="2:8">
      <c r="B547" s="76">
        <v>43892</v>
      </c>
      <c r="C547" s="77">
        <v>24.17</v>
      </c>
      <c r="D547" s="79">
        <f t="shared" si="16"/>
        <v>6.4288906397574119E-2</v>
      </c>
      <c r="F547" s="76">
        <v>43892</v>
      </c>
      <c r="G547" s="78">
        <v>38.110000999999997</v>
      </c>
      <c r="H547" s="79">
        <f t="shared" si="17"/>
        <v>4.4395695018049054E-2</v>
      </c>
    </row>
    <row r="548" spans="2:8">
      <c r="B548" s="76">
        <v>43893</v>
      </c>
      <c r="C548" s="77">
        <v>23.719999000000001</v>
      </c>
      <c r="D548" s="79">
        <f t="shared" si="16"/>
        <v>-1.8618163011998357E-2</v>
      </c>
      <c r="F548" s="76">
        <v>43893</v>
      </c>
      <c r="G548" s="78">
        <v>37.049999</v>
      </c>
      <c r="H548" s="79">
        <f t="shared" si="17"/>
        <v>-2.7814273738801458E-2</v>
      </c>
    </row>
    <row r="549" spans="2:8">
      <c r="B549" s="76">
        <v>43894</v>
      </c>
      <c r="C549" s="77">
        <v>25.639999</v>
      </c>
      <c r="D549" s="79">
        <f t="shared" si="16"/>
        <v>8.0944354171347058E-2</v>
      </c>
      <c r="F549" s="76">
        <v>43894</v>
      </c>
      <c r="G549" s="78">
        <v>38.580002</v>
      </c>
      <c r="H549" s="79">
        <f t="shared" si="17"/>
        <v>4.1295628644956256E-2</v>
      </c>
    </row>
    <row r="550" spans="2:8">
      <c r="B550" s="76">
        <v>43895</v>
      </c>
      <c r="C550" s="77">
        <v>24.469999000000001</v>
      </c>
      <c r="D550" s="79">
        <f t="shared" si="16"/>
        <v>-4.5631827052723291E-2</v>
      </c>
      <c r="F550" s="76">
        <v>43895</v>
      </c>
      <c r="G550" s="78">
        <v>37.290000999999997</v>
      </c>
      <c r="H550" s="79">
        <f t="shared" si="17"/>
        <v>-3.3437038183668409E-2</v>
      </c>
    </row>
    <row r="551" spans="2:8">
      <c r="B551" s="76">
        <v>43896</v>
      </c>
      <c r="C551" s="77">
        <v>22.08</v>
      </c>
      <c r="D551" s="79">
        <f t="shared" si="16"/>
        <v>-9.7670580207216307E-2</v>
      </c>
      <c r="F551" s="76">
        <v>43896</v>
      </c>
      <c r="G551" s="78">
        <v>36.610000999999997</v>
      </c>
      <c r="H551" s="79">
        <f t="shared" si="17"/>
        <v>-1.8235451374753242E-2</v>
      </c>
    </row>
    <row r="552" spans="2:8">
      <c r="B552" s="76">
        <v>43899</v>
      </c>
      <c r="C552" s="77">
        <v>18.969999000000001</v>
      </c>
      <c r="D552" s="79">
        <f t="shared" si="16"/>
        <v>-0.14085149456521726</v>
      </c>
      <c r="F552" s="76">
        <v>43899</v>
      </c>
      <c r="G552" s="78">
        <v>33.790000999999997</v>
      </c>
      <c r="H552" s="79">
        <f t="shared" si="17"/>
        <v>-7.7028132285492171E-2</v>
      </c>
    </row>
    <row r="553" spans="2:8">
      <c r="B553" s="76">
        <v>43900</v>
      </c>
      <c r="C553" s="77">
        <v>20.67</v>
      </c>
      <c r="D553" s="79">
        <f t="shared" si="16"/>
        <v>8.9615239304967814E-2</v>
      </c>
      <c r="F553" s="76">
        <v>43900</v>
      </c>
      <c r="G553" s="78">
        <v>35.439999</v>
      </c>
      <c r="H553" s="79">
        <f t="shared" si="17"/>
        <v>4.883095445898341E-2</v>
      </c>
    </row>
    <row r="554" spans="2:8">
      <c r="B554" s="76">
        <v>43901</v>
      </c>
      <c r="C554" s="77">
        <v>19.110001</v>
      </c>
      <c r="D554" s="79">
        <f t="shared" si="16"/>
        <v>-7.5471649733913945E-2</v>
      </c>
      <c r="F554" s="76">
        <v>43901</v>
      </c>
      <c r="G554" s="78">
        <v>33.669998</v>
      </c>
      <c r="H554" s="79">
        <f t="shared" si="17"/>
        <v>-4.9943596217370115E-2</v>
      </c>
    </row>
    <row r="555" spans="2:8">
      <c r="B555" s="76">
        <v>43902</v>
      </c>
      <c r="C555" s="77">
        <v>14.76</v>
      </c>
      <c r="D555" s="79">
        <f t="shared" si="16"/>
        <v>-0.22762955376088156</v>
      </c>
      <c r="F555" s="76">
        <v>43902</v>
      </c>
      <c r="G555" s="78">
        <v>30.35</v>
      </c>
      <c r="H555" s="79">
        <f t="shared" si="17"/>
        <v>-9.8604045061125287E-2</v>
      </c>
    </row>
    <row r="556" spans="2:8">
      <c r="B556" s="76">
        <v>43903</v>
      </c>
      <c r="C556" s="77">
        <v>15.9</v>
      </c>
      <c r="D556" s="79">
        <f t="shared" si="16"/>
        <v>7.7235772357723623E-2</v>
      </c>
      <c r="F556" s="76">
        <v>43903</v>
      </c>
      <c r="G556" s="78">
        <v>33.130001</v>
      </c>
      <c r="H556" s="79">
        <f t="shared" si="17"/>
        <v>9.1598056013179524E-2</v>
      </c>
    </row>
    <row r="557" spans="2:8">
      <c r="B557" s="76">
        <v>43906</v>
      </c>
      <c r="C557" s="77">
        <v>12.2</v>
      </c>
      <c r="D557" s="79">
        <f t="shared" si="16"/>
        <v>-0.23270440251572333</v>
      </c>
      <c r="F557" s="76">
        <v>43906</v>
      </c>
      <c r="G557" s="78">
        <v>29.34</v>
      </c>
      <c r="H557" s="79">
        <f t="shared" si="17"/>
        <v>-0.11439785347425738</v>
      </c>
    </row>
    <row r="558" spans="2:8">
      <c r="B558" s="76">
        <v>43907</v>
      </c>
      <c r="C558" s="77">
        <v>11.29</v>
      </c>
      <c r="D558" s="79">
        <f t="shared" si="16"/>
        <v>-7.4590163934426246E-2</v>
      </c>
      <c r="F558" s="76">
        <v>43907</v>
      </c>
      <c r="G558" s="78">
        <v>30.92</v>
      </c>
      <c r="H558" s="79">
        <f t="shared" si="17"/>
        <v>5.3851397409679681E-2</v>
      </c>
    </row>
    <row r="559" spans="2:8">
      <c r="B559" s="76">
        <v>43908</v>
      </c>
      <c r="C559" s="77">
        <v>10.65</v>
      </c>
      <c r="D559" s="79">
        <f t="shared" si="16"/>
        <v>-5.6687333923826293E-2</v>
      </c>
      <c r="F559" s="76">
        <v>43908</v>
      </c>
      <c r="G559" s="78">
        <v>29.309999000000001</v>
      </c>
      <c r="H559" s="79">
        <f t="shared" si="17"/>
        <v>-5.2069890038809845E-2</v>
      </c>
    </row>
    <row r="560" spans="2:8">
      <c r="B560" s="76">
        <v>43909</v>
      </c>
      <c r="C560" s="77">
        <v>12.01</v>
      </c>
      <c r="D560" s="79">
        <f t="shared" si="16"/>
        <v>0.12769953051643188</v>
      </c>
      <c r="F560" s="76">
        <v>43909</v>
      </c>
      <c r="G560" s="78">
        <v>29.41</v>
      </c>
      <c r="H560" s="79">
        <f t="shared" si="17"/>
        <v>3.4118390792165802E-3</v>
      </c>
    </row>
    <row r="561" spans="2:8">
      <c r="B561" s="76">
        <v>43910</v>
      </c>
      <c r="C561" s="77">
        <v>11.4</v>
      </c>
      <c r="D561" s="79">
        <f t="shared" si="16"/>
        <v>-5.0791007493755161E-2</v>
      </c>
      <c r="F561" s="76">
        <v>43910</v>
      </c>
      <c r="G561" s="78">
        <v>28.09</v>
      </c>
      <c r="H561" s="79">
        <f t="shared" si="17"/>
        <v>-4.4882692961577701E-2</v>
      </c>
    </row>
    <row r="562" spans="2:8">
      <c r="B562" s="76">
        <v>43913</v>
      </c>
      <c r="C562" s="77">
        <v>11.12</v>
      </c>
      <c r="D562" s="79">
        <f t="shared" si="16"/>
        <v>-2.456140350877203E-2</v>
      </c>
      <c r="F562" s="76">
        <v>43913</v>
      </c>
      <c r="G562" s="78">
        <v>27.120000999999998</v>
      </c>
      <c r="H562" s="79">
        <f t="shared" si="17"/>
        <v>-3.4531826272694958E-2</v>
      </c>
    </row>
    <row r="563" spans="2:8">
      <c r="B563" s="76">
        <v>43914</v>
      </c>
      <c r="C563" s="77">
        <v>13.72</v>
      </c>
      <c r="D563" s="79">
        <f t="shared" si="16"/>
        <v>0.23381294964028793</v>
      </c>
      <c r="F563" s="76">
        <v>43914</v>
      </c>
      <c r="G563" s="78">
        <v>29.74</v>
      </c>
      <c r="H563" s="79">
        <f t="shared" si="17"/>
        <v>9.6607629181134622E-2</v>
      </c>
    </row>
    <row r="564" spans="2:8">
      <c r="B564" s="76">
        <v>43915</v>
      </c>
      <c r="C564" s="77">
        <v>14.63</v>
      </c>
      <c r="D564" s="79">
        <f t="shared" si="16"/>
        <v>6.6326530612244902E-2</v>
      </c>
      <c r="F564" s="76">
        <v>43915</v>
      </c>
      <c r="G564" s="78">
        <v>30.09</v>
      </c>
      <c r="H564" s="79">
        <f t="shared" si="17"/>
        <v>1.1768661735037036E-2</v>
      </c>
    </row>
    <row r="565" spans="2:8">
      <c r="B565" s="76">
        <v>43916</v>
      </c>
      <c r="C565" s="77">
        <v>14.18</v>
      </c>
      <c r="D565" s="79">
        <f t="shared" si="16"/>
        <v>-3.0758714969241357E-2</v>
      </c>
      <c r="F565" s="76">
        <v>43916</v>
      </c>
      <c r="G565" s="78">
        <v>31.940000999999999</v>
      </c>
      <c r="H565" s="79">
        <f t="shared" si="17"/>
        <v>6.1482253240279124E-2</v>
      </c>
    </row>
    <row r="566" spans="2:8">
      <c r="B566" s="76">
        <v>43917</v>
      </c>
      <c r="C566" s="77">
        <v>13.33</v>
      </c>
      <c r="D566" s="79">
        <f t="shared" si="16"/>
        <v>-5.9943582510578255E-2</v>
      </c>
      <c r="F566" s="76">
        <v>43917</v>
      </c>
      <c r="G566" s="78">
        <v>30.959999</v>
      </c>
      <c r="H566" s="79">
        <f t="shared" si="17"/>
        <v>-3.0682591400044069E-2</v>
      </c>
    </row>
    <row r="567" spans="2:8">
      <c r="B567" s="76">
        <v>43920</v>
      </c>
      <c r="C567" s="77">
        <v>12.86</v>
      </c>
      <c r="D567" s="79">
        <f t="shared" si="16"/>
        <v>-3.5258814703675964E-2</v>
      </c>
      <c r="F567" s="76">
        <v>43920</v>
      </c>
      <c r="G567" s="78">
        <v>31.93</v>
      </c>
      <c r="H567" s="79">
        <f t="shared" si="17"/>
        <v>3.133078266572295E-2</v>
      </c>
    </row>
    <row r="568" spans="2:8">
      <c r="B568" s="76">
        <v>43921</v>
      </c>
      <c r="C568" s="77">
        <v>12.23</v>
      </c>
      <c r="D568" s="79">
        <f t="shared" si="16"/>
        <v>-4.898911353032652E-2</v>
      </c>
      <c r="F568" s="76">
        <v>43921</v>
      </c>
      <c r="G568" s="78">
        <v>31.450001</v>
      </c>
      <c r="H568" s="79">
        <f t="shared" si="17"/>
        <v>-1.5032853116191651E-2</v>
      </c>
    </row>
    <row r="569" spans="2:8">
      <c r="B569" s="76">
        <v>43922</v>
      </c>
      <c r="C569" s="77">
        <v>11.48</v>
      </c>
      <c r="D569" s="79">
        <f t="shared" si="16"/>
        <v>-6.1324611610793132E-2</v>
      </c>
      <c r="F569" s="76">
        <v>43922</v>
      </c>
      <c r="G569" s="78">
        <v>29.99</v>
      </c>
      <c r="H569" s="79">
        <f t="shared" si="17"/>
        <v>-4.6422923802132851E-2</v>
      </c>
    </row>
    <row r="570" spans="2:8">
      <c r="B570" s="76">
        <v>43923</v>
      </c>
      <c r="C570" s="77">
        <v>11.54</v>
      </c>
      <c r="D570" s="79">
        <f t="shared" si="16"/>
        <v>5.2264808362368223E-3</v>
      </c>
      <c r="F570" s="76">
        <v>43923</v>
      </c>
      <c r="G570" s="78">
        <v>30.66</v>
      </c>
      <c r="H570" s="79">
        <f t="shared" si="17"/>
        <v>2.2340780260086755E-2</v>
      </c>
    </row>
    <row r="571" spans="2:8">
      <c r="B571" s="76">
        <v>43924</v>
      </c>
      <c r="C571" s="77">
        <v>10.91</v>
      </c>
      <c r="D571" s="79">
        <f t="shared" si="16"/>
        <v>-5.4592720970537183E-2</v>
      </c>
      <c r="F571" s="76">
        <v>43924</v>
      </c>
      <c r="G571" s="78">
        <v>30.200001</v>
      </c>
      <c r="H571" s="79">
        <f t="shared" si="17"/>
        <v>-1.5003228962817998E-2</v>
      </c>
    </row>
    <row r="572" spans="2:8">
      <c r="B572" s="76">
        <v>43927</v>
      </c>
      <c r="C572" s="77">
        <v>12.81</v>
      </c>
      <c r="D572" s="79">
        <f t="shared" si="16"/>
        <v>0.17415215398716777</v>
      </c>
      <c r="F572" s="76">
        <v>43927</v>
      </c>
      <c r="G572" s="78">
        <v>32.270000000000003</v>
      </c>
      <c r="H572" s="79">
        <f t="shared" si="17"/>
        <v>6.8543010975397084E-2</v>
      </c>
    </row>
    <row r="573" spans="2:8">
      <c r="B573" s="76">
        <v>43928</v>
      </c>
      <c r="C573" s="77">
        <v>13.59</v>
      </c>
      <c r="D573" s="79">
        <f t="shared" si="16"/>
        <v>6.0889929742388708E-2</v>
      </c>
      <c r="F573" s="76">
        <v>43928</v>
      </c>
      <c r="G573" s="78">
        <v>32.310001</v>
      </c>
      <c r="H573" s="79">
        <f t="shared" si="17"/>
        <v>1.239572358227351E-3</v>
      </c>
    </row>
    <row r="574" spans="2:8">
      <c r="B574" s="76">
        <v>43929</v>
      </c>
      <c r="C574" s="77">
        <v>13.58</v>
      </c>
      <c r="D574" s="79">
        <f t="shared" si="16"/>
        <v>-7.3583517292124991E-4</v>
      </c>
      <c r="F574" s="76">
        <v>43929</v>
      </c>
      <c r="G574" s="78">
        <v>33.459999000000003</v>
      </c>
      <c r="H574" s="79">
        <f t="shared" si="17"/>
        <v>3.55926327578883E-2</v>
      </c>
    </row>
    <row r="575" spans="2:8">
      <c r="B575" s="76">
        <v>43930</v>
      </c>
      <c r="C575" s="77">
        <v>15.04</v>
      </c>
      <c r="D575" s="79">
        <f t="shared" si="16"/>
        <v>0.10751104565537549</v>
      </c>
      <c r="F575" s="76">
        <v>43930</v>
      </c>
      <c r="G575" s="78">
        <v>33.979999999999997</v>
      </c>
      <c r="H575" s="79">
        <f t="shared" si="17"/>
        <v>1.5540974762132941E-2</v>
      </c>
    </row>
    <row r="576" spans="2:8">
      <c r="B576" s="76">
        <v>43934</v>
      </c>
      <c r="C576" s="77">
        <v>13.83</v>
      </c>
      <c r="D576" s="79">
        <f t="shared" si="16"/>
        <v>-8.0452127659574407E-2</v>
      </c>
      <c r="F576" s="76">
        <v>43934</v>
      </c>
      <c r="G576" s="78">
        <v>33.590000000000003</v>
      </c>
      <c r="H576" s="79">
        <f t="shared" si="17"/>
        <v>-1.1477339611536007E-2</v>
      </c>
    </row>
    <row r="577" spans="2:8">
      <c r="B577" s="76">
        <v>43935</v>
      </c>
      <c r="C577" s="77">
        <v>14.14</v>
      </c>
      <c r="D577" s="79">
        <f t="shared" si="16"/>
        <v>2.2415039768618979E-2</v>
      </c>
      <c r="F577" s="76">
        <v>43935</v>
      </c>
      <c r="G577" s="78">
        <v>34.630001</v>
      </c>
      <c r="H577" s="79">
        <f t="shared" si="17"/>
        <v>3.0961625483774829E-2</v>
      </c>
    </row>
    <row r="578" spans="2:8">
      <c r="B578" s="76">
        <v>43936</v>
      </c>
      <c r="C578" s="77">
        <v>13.25</v>
      </c>
      <c r="D578" s="79">
        <f t="shared" si="16"/>
        <v>-6.2942008486562978E-2</v>
      </c>
      <c r="F578" s="76">
        <v>43936</v>
      </c>
      <c r="G578" s="78">
        <v>33.799999</v>
      </c>
      <c r="H578" s="79">
        <f t="shared" si="17"/>
        <v>-2.3967715161197955E-2</v>
      </c>
    </row>
    <row r="579" spans="2:8">
      <c r="B579" s="76">
        <v>43937</v>
      </c>
      <c r="C579" s="77">
        <v>12.95</v>
      </c>
      <c r="D579" s="79">
        <f t="shared" si="16"/>
        <v>-2.2641509433962318E-2</v>
      </c>
      <c r="F579" s="76">
        <v>43937</v>
      </c>
      <c r="G579" s="78">
        <v>33.939999</v>
      </c>
      <c r="H579" s="79">
        <f t="shared" si="17"/>
        <v>4.1420119568642763E-3</v>
      </c>
    </row>
    <row r="580" spans="2:8">
      <c r="B580" s="76">
        <v>43938</v>
      </c>
      <c r="C580" s="77">
        <v>14.62</v>
      </c>
      <c r="D580" s="79">
        <f t="shared" si="16"/>
        <v>0.12895752895752896</v>
      </c>
      <c r="F580" s="76">
        <v>43938</v>
      </c>
      <c r="G580" s="78">
        <v>34.919998</v>
      </c>
      <c r="H580" s="79">
        <f t="shared" si="17"/>
        <v>2.8874455771197852E-2</v>
      </c>
    </row>
    <row r="581" spans="2:8">
      <c r="B581" s="76">
        <v>43941</v>
      </c>
      <c r="C581" s="77">
        <v>13.94</v>
      </c>
      <c r="D581" s="79">
        <f t="shared" si="16"/>
        <v>-4.651162790697673E-2</v>
      </c>
      <c r="F581" s="76">
        <v>43941</v>
      </c>
      <c r="G581" s="78">
        <v>34.259998000000003</v>
      </c>
      <c r="H581" s="79">
        <f t="shared" si="17"/>
        <v>-1.8900344725105558E-2</v>
      </c>
    </row>
    <row r="582" spans="2:8">
      <c r="B582" s="76">
        <v>43942</v>
      </c>
      <c r="C582" s="77">
        <v>13.48</v>
      </c>
      <c r="D582" s="79">
        <f t="shared" ref="D582:D645" si="18">(C582-C581)/C581</f>
        <v>-3.2998565279770381E-2</v>
      </c>
      <c r="F582" s="76">
        <v>43942</v>
      </c>
      <c r="G582" s="78">
        <v>33.270000000000003</v>
      </c>
      <c r="H582" s="79">
        <f t="shared" ref="H582:H645" si="19">(G582-G581)/G581</f>
        <v>-2.8896615814163206E-2</v>
      </c>
    </row>
    <row r="583" spans="2:8">
      <c r="B583" s="76">
        <v>43943</v>
      </c>
      <c r="C583" s="77">
        <v>13.46</v>
      </c>
      <c r="D583" s="79">
        <f t="shared" si="18"/>
        <v>-1.4836795252225203E-3</v>
      </c>
      <c r="F583" s="76">
        <v>43943</v>
      </c>
      <c r="G583" s="78">
        <v>33.979999999999997</v>
      </c>
      <c r="H583" s="79">
        <f t="shared" si="19"/>
        <v>2.1340547039374623E-2</v>
      </c>
    </row>
    <row r="584" spans="2:8">
      <c r="B584" s="76">
        <v>43944</v>
      </c>
      <c r="C584" s="77">
        <v>13.96</v>
      </c>
      <c r="D584" s="79">
        <f t="shared" si="18"/>
        <v>3.7147102526002972E-2</v>
      </c>
      <c r="F584" s="76">
        <v>43944</v>
      </c>
      <c r="G584" s="78">
        <v>34.020000000000003</v>
      </c>
      <c r="H584" s="79">
        <f t="shared" si="19"/>
        <v>1.1771630370808197E-3</v>
      </c>
    </row>
    <row r="585" spans="2:8">
      <c r="B585" s="76">
        <v>43945</v>
      </c>
      <c r="C585" s="77">
        <v>14.73</v>
      </c>
      <c r="D585" s="79">
        <f t="shared" si="18"/>
        <v>5.5157593123209135E-2</v>
      </c>
      <c r="F585" s="76">
        <v>43945</v>
      </c>
      <c r="G585" s="78">
        <v>34.5</v>
      </c>
      <c r="H585" s="79">
        <f t="shared" si="19"/>
        <v>1.4109347442680683E-2</v>
      </c>
    </row>
    <row r="586" spans="2:8">
      <c r="B586" s="76">
        <v>43948</v>
      </c>
      <c r="C586" s="77">
        <v>15.8</v>
      </c>
      <c r="D586" s="79">
        <f t="shared" si="18"/>
        <v>7.2640868974881215E-2</v>
      </c>
      <c r="F586" s="76">
        <v>43948</v>
      </c>
      <c r="G586" s="78">
        <v>35.060001</v>
      </c>
      <c r="H586" s="79">
        <f t="shared" si="19"/>
        <v>1.6231913043478253E-2</v>
      </c>
    </row>
    <row r="587" spans="2:8">
      <c r="B587" s="76">
        <v>43949</v>
      </c>
      <c r="C587" s="77">
        <v>17.299999</v>
      </c>
      <c r="D587" s="79">
        <f t="shared" si="18"/>
        <v>9.4936645569620184E-2</v>
      </c>
      <c r="F587" s="76">
        <v>43949</v>
      </c>
      <c r="G587" s="78">
        <v>34.909999999999997</v>
      </c>
      <c r="H587" s="79">
        <f t="shared" si="19"/>
        <v>-4.2784083206387578E-3</v>
      </c>
    </row>
    <row r="588" spans="2:8">
      <c r="B588" s="76">
        <v>43950</v>
      </c>
      <c r="C588" s="77">
        <v>19.540001</v>
      </c>
      <c r="D588" s="79">
        <f t="shared" si="18"/>
        <v>0.12947989187745043</v>
      </c>
      <c r="F588" s="76">
        <v>43950</v>
      </c>
      <c r="G588" s="78">
        <v>35.909999999999997</v>
      </c>
      <c r="H588" s="79">
        <f t="shared" si="19"/>
        <v>2.8645087367516475E-2</v>
      </c>
    </row>
    <row r="589" spans="2:8">
      <c r="B589" s="76">
        <v>43951</v>
      </c>
      <c r="C589" s="77">
        <v>18.350000000000001</v>
      </c>
      <c r="D589" s="79">
        <f t="shared" si="18"/>
        <v>-6.0900764539367158E-2</v>
      </c>
      <c r="F589" s="76">
        <v>43951</v>
      </c>
      <c r="G589" s="78">
        <v>35.5</v>
      </c>
      <c r="H589" s="79">
        <f t="shared" si="19"/>
        <v>-1.1417432470063955E-2</v>
      </c>
    </row>
    <row r="590" spans="2:8">
      <c r="B590" s="76">
        <v>43952</v>
      </c>
      <c r="C590" s="77">
        <v>17.239999999999998</v>
      </c>
      <c r="D590" s="79">
        <f t="shared" si="18"/>
        <v>-6.0490463215259013E-2</v>
      </c>
      <c r="F590" s="76">
        <v>43952</v>
      </c>
      <c r="G590" s="78">
        <v>34.529998999999997</v>
      </c>
      <c r="H590" s="79">
        <f t="shared" si="19"/>
        <v>-2.7323971830986012E-2</v>
      </c>
    </row>
    <row r="591" spans="2:8">
      <c r="B591" s="76">
        <v>43955</v>
      </c>
      <c r="C591" s="77">
        <v>16.84</v>
      </c>
      <c r="D591" s="79">
        <f t="shared" si="18"/>
        <v>-2.3201856148491799E-2</v>
      </c>
      <c r="F591" s="76">
        <v>43955</v>
      </c>
      <c r="G591" s="78">
        <v>34.619999</v>
      </c>
      <c r="H591" s="79">
        <f t="shared" si="19"/>
        <v>2.6064292674900865E-3</v>
      </c>
    </row>
    <row r="592" spans="2:8">
      <c r="B592" s="76">
        <v>43956</v>
      </c>
      <c r="C592" s="77">
        <v>16.899999999999999</v>
      </c>
      <c r="D592" s="79">
        <f t="shared" si="18"/>
        <v>3.5629453681709456E-3</v>
      </c>
      <c r="F592" s="76">
        <v>43956</v>
      </c>
      <c r="G592" s="78">
        <v>34.900002000000001</v>
      </c>
      <c r="H592" s="79">
        <f t="shared" si="19"/>
        <v>8.0878974028855601E-3</v>
      </c>
    </row>
    <row r="593" spans="2:8">
      <c r="B593" s="76">
        <v>43957</v>
      </c>
      <c r="C593" s="77">
        <v>16.209999</v>
      </c>
      <c r="D593" s="79">
        <f t="shared" si="18"/>
        <v>-4.0828461538461466E-2</v>
      </c>
      <c r="F593" s="76">
        <v>43957</v>
      </c>
      <c r="G593" s="78">
        <v>34.700001</v>
      </c>
      <c r="H593" s="79">
        <f t="shared" si="19"/>
        <v>-5.7306873506769518E-3</v>
      </c>
    </row>
    <row r="594" spans="2:8">
      <c r="B594" s="76">
        <v>43958</v>
      </c>
      <c r="C594" s="77">
        <v>17.149999999999999</v>
      </c>
      <c r="D594" s="79">
        <f t="shared" si="18"/>
        <v>5.7988961011040084E-2</v>
      </c>
      <c r="F594" s="76">
        <v>43958</v>
      </c>
      <c r="G594" s="78">
        <v>35.090000000000003</v>
      </c>
      <c r="H594" s="79">
        <f t="shared" si="19"/>
        <v>1.1239163941234557E-2</v>
      </c>
    </row>
    <row r="595" spans="2:8">
      <c r="B595" s="76">
        <v>43959</v>
      </c>
      <c r="C595" s="77">
        <v>17.889999</v>
      </c>
      <c r="D595" s="79">
        <f t="shared" si="18"/>
        <v>4.3148629737609391E-2</v>
      </c>
      <c r="F595" s="76">
        <v>43959</v>
      </c>
      <c r="G595" s="78">
        <v>35.729999999999997</v>
      </c>
      <c r="H595" s="79">
        <f t="shared" si="19"/>
        <v>1.8238814477058805E-2</v>
      </c>
    </row>
    <row r="596" spans="2:8">
      <c r="B596" s="76">
        <v>43962</v>
      </c>
      <c r="C596" s="77">
        <v>17.620000999999998</v>
      </c>
      <c r="D596" s="79">
        <f t="shared" si="18"/>
        <v>-1.5092119345562907E-2</v>
      </c>
      <c r="F596" s="76">
        <v>43962</v>
      </c>
      <c r="G596" s="78">
        <v>35.729999999999997</v>
      </c>
      <c r="H596" s="79">
        <f t="shared" si="19"/>
        <v>0</v>
      </c>
    </row>
    <row r="597" spans="2:8">
      <c r="B597" s="76">
        <v>43963</v>
      </c>
      <c r="C597" s="77">
        <v>16.540001</v>
      </c>
      <c r="D597" s="79">
        <f t="shared" si="18"/>
        <v>-6.1293980630307478E-2</v>
      </c>
      <c r="F597" s="76">
        <v>43963</v>
      </c>
      <c r="G597" s="78">
        <v>34.979999999999997</v>
      </c>
      <c r="H597" s="79">
        <f t="shared" si="19"/>
        <v>-2.0990764063811923E-2</v>
      </c>
    </row>
    <row r="598" spans="2:8">
      <c r="B598" s="76">
        <v>43964</v>
      </c>
      <c r="C598" s="77">
        <v>15.31</v>
      </c>
      <c r="D598" s="79">
        <f t="shared" si="18"/>
        <v>-7.4365231295935211E-2</v>
      </c>
      <c r="F598" s="76">
        <v>43964</v>
      </c>
      <c r="G598" s="78">
        <v>34.290000999999997</v>
      </c>
      <c r="H598" s="79">
        <f t="shared" si="19"/>
        <v>-1.9725528873642092E-2</v>
      </c>
    </row>
    <row r="599" spans="2:8">
      <c r="B599" s="76">
        <v>43965</v>
      </c>
      <c r="C599" s="77">
        <v>15.7</v>
      </c>
      <c r="D599" s="79">
        <f t="shared" si="18"/>
        <v>2.5473546701502207E-2</v>
      </c>
      <c r="F599" s="76">
        <v>43965</v>
      </c>
      <c r="G599" s="78">
        <v>34.689999</v>
      </c>
      <c r="H599" s="79">
        <f t="shared" si="19"/>
        <v>1.1665149849368731E-2</v>
      </c>
    </row>
    <row r="600" spans="2:8">
      <c r="B600" s="76">
        <v>43966</v>
      </c>
      <c r="C600" s="77">
        <v>16.09</v>
      </c>
      <c r="D600" s="79">
        <f t="shared" si="18"/>
        <v>2.4840764331210227E-2</v>
      </c>
      <c r="F600" s="76">
        <v>43966</v>
      </c>
      <c r="G600" s="78">
        <v>34.860000999999997</v>
      </c>
      <c r="H600" s="79">
        <f t="shared" si="19"/>
        <v>4.9006055030441668E-3</v>
      </c>
    </row>
    <row r="601" spans="2:8">
      <c r="B601" s="76">
        <v>43969</v>
      </c>
      <c r="C601" s="77">
        <v>18.879999000000002</v>
      </c>
      <c r="D601" s="79">
        <f t="shared" si="18"/>
        <v>0.17339956494717226</v>
      </c>
      <c r="F601" s="76">
        <v>43969</v>
      </c>
      <c r="G601" s="78">
        <v>36.009998000000003</v>
      </c>
      <c r="H601" s="79">
        <f t="shared" si="19"/>
        <v>3.2989012249311361E-2</v>
      </c>
    </row>
    <row r="602" spans="2:8">
      <c r="B602" s="76">
        <v>43970</v>
      </c>
      <c r="C602" s="77">
        <v>17.709999</v>
      </c>
      <c r="D602" s="79">
        <f t="shared" si="18"/>
        <v>-6.1970342265378384E-2</v>
      </c>
      <c r="F602" s="76">
        <v>43970</v>
      </c>
      <c r="G602" s="78">
        <v>35.669998</v>
      </c>
      <c r="H602" s="79">
        <f t="shared" si="19"/>
        <v>-9.4418222405900538E-3</v>
      </c>
    </row>
    <row r="603" spans="2:8">
      <c r="B603" s="76">
        <v>43971</v>
      </c>
      <c r="C603" s="77">
        <v>18.510000000000002</v>
      </c>
      <c r="D603" s="79">
        <f t="shared" si="18"/>
        <v>4.5172278101201571E-2</v>
      </c>
      <c r="F603" s="76">
        <v>43971</v>
      </c>
      <c r="G603" s="78">
        <v>36.290000999999997</v>
      </c>
      <c r="H603" s="79">
        <f t="shared" si="19"/>
        <v>1.7381638204745538E-2</v>
      </c>
    </row>
    <row r="604" spans="2:8">
      <c r="B604" s="76">
        <v>43972</v>
      </c>
      <c r="C604" s="77">
        <v>18.440000999999999</v>
      </c>
      <c r="D604" s="79">
        <f t="shared" si="18"/>
        <v>-3.7816855753648191E-3</v>
      </c>
      <c r="F604" s="76">
        <v>43972</v>
      </c>
      <c r="G604" s="78">
        <v>36.049999</v>
      </c>
      <c r="H604" s="79">
        <f t="shared" si="19"/>
        <v>-6.6134470484031389E-3</v>
      </c>
    </row>
    <row r="605" spans="2:8">
      <c r="B605" s="76">
        <v>43973</v>
      </c>
      <c r="C605" s="77">
        <v>19.18</v>
      </c>
      <c r="D605" s="79">
        <f t="shared" si="18"/>
        <v>4.0130095437630457E-2</v>
      </c>
      <c r="F605" s="76">
        <v>43973</v>
      </c>
      <c r="G605" s="78">
        <v>36.110000999999997</v>
      </c>
      <c r="H605" s="79">
        <f t="shared" si="19"/>
        <v>1.6644105870848214E-3</v>
      </c>
    </row>
    <row r="606" spans="2:8">
      <c r="B606" s="76">
        <v>43977</v>
      </c>
      <c r="C606" s="77">
        <v>20.559999000000001</v>
      </c>
      <c r="D606" s="79">
        <f t="shared" si="18"/>
        <v>7.1949895724713317E-2</v>
      </c>
      <c r="F606" s="76">
        <v>43977</v>
      </c>
      <c r="G606" s="78">
        <v>36.619999</v>
      </c>
      <c r="H606" s="79">
        <f t="shared" si="19"/>
        <v>1.4123455715218704E-2</v>
      </c>
    </row>
    <row r="607" spans="2:8">
      <c r="B607" s="76">
        <v>43978</v>
      </c>
      <c r="C607" s="77">
        <v>22.290001</v>
      </c>
      <c r="D607" s="79">
        <f t="shared" si="18"/>
        <v>8.4144070240470284E-2</v>
      </c>
      <c r="F607" s="76">
        <v>43978</v>
      </c>
      <c r="G607" s="78">
        <v>37.220001000000003</v>
      </c>
      <c r="H607" s="79">
        <f t="shared" si="19"/>
        <v>1.6384544412467172E-2</v>
      </c>
    </row>
    <row r="608" spans="2:8">
      <c r="B608" s="76">
        <v>43979</v>
      </c>
      <c r="C608" s="77">
        <v>20.66</v>
      </c>
      <c r="D608" s="79">
        <f t="shared" si="18"/>
        <v>-7.3127004346029409E-2</v>
      </c>
      <c r="F608" s="76">
        <v>43979</v>
      </c>
      <c r="G608" s="78">
        <v>37.119999</v>
      </c>
      <c r="H608" s="79">
        <f t="shared" si="19"/>
        <v>-2.6867812281897432E-3</v>
      </c>
    </row>
    <row r="609" spans="2:8">
      <c r="B609" s="76">
        <v>43980</v>
      </c>
      <c r="C609" s="77">
        <v>20.809999000000001</v>
      </c>
      <c r="D609" s="79">
        <f t="shared" si="18"/>
        <v>7.2603581800581365E-3</v>
      </c>
      <c r="F609" s="76">
        <v>43980</v>
      </c>
      <c r="G609" s="78">
        <v>37.189999</v>
      </c>
      <c r="H609" s="79">
        <f t="shared" si="19"/>
        <v>1.885775912871126E-3</v>
      </c>
    </row>
    <row r="610" spans="2:8">
      <c r="B610" s="76">
        <v>43983</v>
      </c>
      <c r="C610" s="77">
        <v>21.5</v>
      </c>
      <c r="D610" s="79">
        <f t="shared" si="18"/>
        <v>3.3157185639461045E-2</v>
      </c>
      <c r="F610" s="76">
        <v>43983</v>
      </c>
      <c r="G610" s="78">
        <v>37.389999000000003</v>
      </c>
      <c r="H610" s="79">
        <f t="shared" si="19"/>
        <v>5.3777898730248104E-3</v>
      </c>
    </row>
    <row r="611" spans="2:8">
      <c r="B611" s="76">
        <v>43984</v>
      </c>
      <c r="C611" s="77">
        <v>22.49</v>
      </c>
      <c r="D611" s="79">
        <f t="shared" si="18"/>
        <v>4.6046511627906905E-2</v>
      </c>
      <c r="F611" s="76">
        <v>43984</v>
      </c>
      <c r="G611" s="78">
        <v>37.709999000000003</v>
      </c>
      <c r="H611" s="79">
        <f t="shared" si="19"/>
        <v>8.5584383139459368E-3</v>
      </c>
    </row>
    <row r="612" spans="2:8">
      <c r="B612" s="76">
        <v>43985</v>
      </c>
      <c r="C612" s="77">
        <v>22.25</v>
      </c>
      <c r="D612" s="79">
        <f t="shared" si="18"/>
        <v>-1.0671409515340083E-2</v>
      </c>
      <c r="F612" s="76">
        <v>43985</v>
      </c>
      <c r="G612" s="78">
        <v>38.299999</v>
      </c>
      <c r="H612" s="79">
        <f t="shared" si="19"/>
        <v>1.5645717731257332E-2</v>
      </c>
    </row>
    <row r="613" spans="2:8">
      <c r="B613" s="76">
        <v>43986</v>
      </c>
      <c r="C613" s="77">
        <v>22.440000999999999</v>
      </c>
      <c r="D613" s="79">
        <f t="shared" si="18"/>
        <v>8.5393707865167971E-3</v>
      </c>
      <c r="F613" s="76">
        <v>43986</v>
      </c>
      <c r="G613" s="78">
        <v>38.169998</v>
      </c>
      <c r="H613" s="79">
        <f t="shared" si="19"/>
        <v>-3.3942820729577572E-3</v>
      </c>
    </row>
    <row r="614" spans="2:8">
      <c r="B614" s="76">
        <v>43987</v>
      </c>
      <c r="C614" s="77">
        <v>23.540001</v>
      </c>
      <c r="D614" s="79">
        <f t="shared" si="18"/>
        <v>4.9019605658662917E-2</v>
      </c>
      <c r="F614" s="76">
        <v>43987</v>
      </c>
      <c r="G614" s="78">
        <v>39.220001000000003</v>
      </c>
      <c r="H614" s="79">
        <f t="shared" si="19"/>
        <v>2.7508594577343278E-2</v>
      </c>
    </row>
    <row r="615" spans="2:8">
      <c r="B615" s="76">
        <v>43990</v>
      </c>
      <c r="C615" s="77">
        <v>23.4</v>
      </c>
      <c r="D615" s="79">
        <f t="shared" si="18"/>
        <v>-5.9473659325673606E-3</v>
      </c>
      <c r="F615" s="76">
        <v>43990</v>
      </c>
      <c r="G615" s="78">
        <v>39.740001999999997</v>
      </c>
      <c r="H615" s="79">
        <f t="shared" si="19"/>
        <v>1.325856671956723E-2</v>
      </c>
    </row>
    <row r="616" spans="2:8">
      <c r="B616" s="76">
        <v>43991</v>
      </c>
      <c r="C616" s="77">
        <v>22.709999</v>
      </c>
      <c r="D616" s="79">
        <f t="shared" si="18"/>
        <v>-2.9487222222222172E-2</v>
      </c>
      <c r="F616" s="76">
        <v>43991</v>
      </c>
      <c r="G616" s="78">
        <v>39.360000999999997</v>
      </c>
      <c r="H616" s="79">
        <f t="shared" si="19"/>
        <v>-9.56217868333273E-3</v>
      </c>
    </row>
    <row r="617" spans="2:8">
      <c r="B617" s="76">
        <v>43992</v>
      </c>
      <c r="C617" s="77">
        <v>22.690000999999999</v>
      </c>
      <c r="D617" s="79">
        <f t="shared" si="18"/>
        <v>-8.8058128051881777E-4</v>
      </c>
      <c r="F617" s="76">
        <v>43992</v>
      </c>
      <c r="G617" s="78">
        <v>39.07</v>
      </c>
      <c r="H617" s="79">
        <f t="shared" si="19"/>
        <v>-7.3679113981728979E-3</v>
      </c>
    </row>
    <row r="618" spans="2:8">
      <c r="B618" s="76">
        <v>43993</v>
      </c>
      <c r="C618" s="77">
        <v>20.67</v>
      </c>
      <c r="D618" s="79">
        <f t="shared" si="18"/>
        <v>-8.9026042793034568E-2</v>
      </c>
      <c r="F618" s="76">
        <v>43993</v>
      </c>
      <c r="G618" s="78">
        <v>36.770000000000003</v>
      </c>
      <c r="H618" s="79">
        <f t="shared" si="19"/>
        <v>-5.886869721013558E-2</v>
      </c>
    </row>
    <row r="619" spans="2:8">
      <c r="B619" s="76">
        <v>43994</v>
      </c>
      <c r="C619" s="77">
        <v>20.99</v>
      </c>
      <c r="D619" s="79">
        <f t="shared" si="18"/>
        <v>1.5481373971939849E-2</v>
      </c>
      <c r="F619" s="76">
        <v>43994</v>
      </c>
      <c r="G619" s="78">
        <v>37.259998000000003</v>
      </c>
      <c r="H619" s="79">
        <f t="shared" si="19"/>
        <v>1.3326026652162086E-2</v>
      </c>
    </row>
    <row r="620" spans="2:8">
      <c r="B620" s="76">
        <v>43997</v>
      </c>
      <c r="C620" s="77">
        <v>22.74</v>
      </c>
      <c r="D620" s="79">
        <f t="shared" si="18"/>
        <v>8.3373034778465943E-2</v>
      </c>
      <c r="F620" s="76">
        <v>43997</v>
      </c>
      <c r="G620" s="78">
        <v>37.580002</v>
      </c>
      <c r="H620" s="79">
        <f t="shared" si="19"/>
        <v>8.5884062581001019E-3</v>
      </c>
    </row>
    <row r="621" spans="2:8">
      <c r="B621" s="76">
        <v>43998</v>
      </c>
      <c r="C621" s="77">
        <v>23.049999</v>
      </c>
      <c r="D621" s="79">
        <f t="shared" si="18"/>
        <v>1.3632321899736203E-2</v>
      </c>
      <c r="F621" s="76">
        <v>43998</v>
      </c>
      <c r="G621" s="78">
        <v>38.32</v>
      </c>
      <c r="H621" s="79">
        <f t="shared" si="19"/>
        <v>1.9691270905201119E-2</v>
      </c>
    </row>
    <row r="622" spans="2:8">
      <c r="B622" s="76">
        <v>43999</v>
      </c>
      <c r="C622" s="77">
        <v>22.26</v>
      </c>
      <c r="D622" s="79">
        <f t="shared" si="18"/>
        <v>-3.4273276974979394E-2</v>
      </c>
      <c r="F622" s="76">
        <v>43999</v>
      </c>
      <c r="G622" s="78">
        <v>38.150002000000001</v>
      </c>
      <c r="H622" s="79">
        <f t="shared" si="19"/>
        <v>-4.4362734864300535E-3</v>
      </c>
    </row>
    <row r="623" spans="2:8">
      <c r="B623" s="76">
        <v>44000</v>
      </c>
      <c r="C623" s="77">
        <v>22.110001</v>
      </c>
      <c r="D623" s="79">
        <f t="shared" si="18"/>
        <v>-6.7384995507637508E-3</v>
      </c>
      <c r="F623" s="76">
        <v>44000</v>
      </c>
      <c r="G623" s="78">
        <v>38.159999999999997</v>
      </c>
      <c r="H623" s="79">
        <f t="shared" si="19"/>
        <v>2.6207075952436266E-4</v>
      </c>
    </row>
    <row r="624" spans="2:8">
      <c r="B624" s="76">
        <v>44001</v>
      </c>
      <c r="C624" s="77">
        <v>21.58</v>
      </c>
      <c r="D624" s="79">
        <f t="shared" si="18"/>
        <v>-2.3971097966029135E-2</v>
      </c>
      <c r="F624" s="76">
        <v>44001</v>
      </c>
      <c r="G624" s="78">
        <v>37.909999999999997</v>
      </c>
      <c r="H624" s="79">
        <f t="shared" si="19"/>
        <v>-6.5513626834381557E-3</v>
      </c>
    </row>
    <row r="625" spans="2:8">
      <c r="B625" s="76">
        <v>44004</v>
      </c>
      <c r="C625" s="77">
        <v>21.700001</v>
      </c>
      <c r="D625" s="79">
        <f t="shared" si="18"/>
        <v>5.5607506950881387E-3</v>
      </c>
      <c r="F625" s="76">
        <v>44004</v>
      </c>
      <c r="G625" s="78">
        <v>38.020000000000003</v>
      </c>
      <c r="H625" s="79">
        <f t="shared" si="19"/>
        <v>2.9016090741230956E-3</v>
      </c>
    </row>
    <row r="626" spans="2:8">
      <c r="B626" s="76">
        <v>44005</v>
      </c>
      <c r="C626" s="77">
        <v>21.700001</v>
      </c>
      <c r="D626" s="79">
        <f t="shared" si="18"/>
        <v>0</v>
      </c>
      <c r="F626" s="76">
        <v>44005</v>
      </c>
      <c r="G626" s="78">
        <v>38.139999000000003</v>
      </c>
      <c r="H626" s="79">
        <f t="shared" si="19"/>
        <v>3.15620725933719E-3</v>
      </c>
    </row>
    <row r="627" spans="2:8">
      <c r="B627" s="76">
        <v>44006</v>
      </c>
      <c r="C627" s="77">
        <v>20.66</v>
      </c>
      <c r="D627" s="79">
        <f t="shared" si="18"/>
        <v>-4.7926311155469539E-2</v>
      </c>
      <c r="F627" s="76">
        <v>44006</v>
      </c>
      <c r="G627" s="78">
        <v>37.169998</v>
      </c>
      <c r="H627" s="79">
        <f t="shared" si="19"/>
        <v>-2.5432643561422309E-2</v>
      </c>
    </row>
    <row r="628" spans="2:8">
      <c r="B628" s="76">
        <v>44007</v>
      </c>
      <c r="C628" s="77">
        <v>20.309999000000001</v>
      </c>
      <c r="D628" s="79">
        <f t="shared" si="18"/>
        <v>-1.6940997095837313E-2</v>
      </c>
      <c r="F628" s="76">
        <v>44007</v>
      </c>
      <c r="G628" s="78">
        <v>37.57</v>
      </c>
      <c r="H628" s="79">
        <f t="shared" si="19"/>
        <v>1.0761421079441561E-2</v>
      </c>
    </row>
    <row r="629" spans="2:8">
      <c r="B629" s="76">
        <v>44008</v>
      </c>
      <c r="C629" s="77">
        <v>19.350000000000001</v>
      </c>
      <c r="D629" s="79">
        <f t="shared" si="18"/>
        <v>-4.7267309072738004E-2</v>
      </c>
      <c r="F629" s="76">
        <v>44008</v>
      </c>
      <c r="G629" s="78">
        <v>36.669998</v>
      </c>
      <c r="H629" s="79">
        <f t="shared" si="19"/>
        <v>-2.3955336704817691E-2</v>
      </c>
    </row>
    <row r="630" spans="2:8">
      <c r="B630" s="76">
        <v>44011</v>
      </c>
      <c r="C630" s="77">
        <v>20.459999</v>
      </c>
      <c r="D630" s="79">
        <f t="shared" si="18"/>
        <v>5.7364289405684665E-2</v>
      </c>
      <c r="F630" s="76">
        <v>44011</v>
      </c>
      <c r="G630" s="78">
        <v>37.259998000000003</v>
      </c>
      <c r="H630" s="79">
        <f t="shared" si="19"/>
        <v>1.6089447291488902E-2</v>
      </c>
    </row>
    <row r="631" spans="2:8">
      <c r="B631" s="76">
        <v>44012</v>
      </c>
      <c r="C631" s="77">
        <v>20.700001</v>
      </c>
      <c r="D631" s="79">
        <f t="shared" si="18"/>
        <v>1.1730303603631677E-2</v>
      </c>
      <c r="F631" s="76">
        <v>44012</v>
      </c>
      <c r="G631" s="78">
        <v>37.779998999999997</v>
      </c>
      <c r="H631" s="79">
        <f t="shared" si="19"/>
        <v>1.3956012558025191E-2</v>
      </c>
    </row>
    <row r="632" spans="2:8">
      <c r="B632" s="76">
        <v>44013</v>
      </c>
      <c r="C632" s="77">
        <v>19.73</v>
      </c>
      <c r="D632" s="79">
        <f t="shared" si="18"/>
        <v>-4.6859949427055576E-2</v>
      </c>
      <c r="F632" s="76">
        <v>44013</v>
      </c>
      <c r="G632" s="78">
        <v>37.970001000000003</v>
      </c>
      <c r="H632" s="79">
        <f t="shared" si="19"/>
        <v>5.029169005536684E-3</v>
      </c>
    </row>
    <row r="633" spans="2:8">
      <c r="B633" s="76">
        <v>44014</v>
      </c>
      <c r="C633" s="77">
        <v>20.07</v>
      </c>
      <c r="D633" s="79">
        <f t="shared" si="18"/>
        <v>1.7232640648758228E-2</v>
      </c>
      <c r="F633" s="76">
        <v>44014</v>
      </c>
      <c r="G633" s="78">
        <v>38.130001</v>
      </c>
      <c r="H633" s="79">
        <f t="shared" si="19"/>
        <v>4.213852930896593E-3</v>
      </c>
    </row>
    <row r="634" spans="2:8">
      <c r="B634" s="76">
        <v>44018</v>
      </c>
      <c r="C634" s="77">
        <v>20.43</v>
      </c>
      <c r="D634" s="79">
        <f t="shared" si="18"/>
        <v>1.7937219730941676E-2</v>
      </c>
      <c r="F634" s="76">
        <v>44018</v>
      </c>
      <c r="G634" s="78">
        <v>38.709999000000003</v>
      </c>
      <c r="H634" s="79">
        <f t="shared" si="19"/>
        <v>1.5211067002070189E-2</v>
      </c>
    </row>
    <row r="635" spans="2:8">
      <c r="B635" s="76">
        <v>44019</v>
      </c>
      <c r="C635" s="77">
        <v>19.84</v>
      </c>
      <c r="D635" s="79">
        <f t="shared" si="18"/>
        <v>-2.8879099363680855E-2</v>
      </c>
      <c r="F635" s="76">
        <v>44019</v>
      </c>
      <c r="G635" s="78">
        <v>38.310001</v>
      </c>
      <c r="H635" s="79">
        <f t="shared" si="19"/>
        <v>-1.0333195823642454E-2</v>
      </c>
    </row>
    <row r="636" spans="2:8">
      <c r="B636" s="76">
        <v>44020</v>
      </c>
      <c r="C636" s="77">
        <v>20.860001</v>
      </c>
      <c r="D636" s="79">
        <f t="shared" si="18"/>
        <v>5.1411340725806484E-2</v>
      </c>
      <c r="F636" s="76">
        <v>44020</v>
      </c>
      <c r="G636" s="78">
        <v>38.590000000000003</v>
      </c>
      <c r="H636" s="79">
        <f t="shared" si="19"/>
        <v>7.3087703652109969E-3</v>
      </c>
    </row>
    <row r="637" spans="2:8">
      <c r="B637" s="76">
        <v>44021</v>
      </c>
      <c r="C637" s="77">
        <v>19.59</v>
      </c>
      <c r="D637" s="79">
        <f t="shared" si="18"/>
        <v>-6.0882115969217859E-2</v>
      </c>
      <c r="F637" s="76">
        <v>44021</v>
      </c>
      <c r="G637" s="78">
        <v>38.349997999999999</v>
      </c>
      <c r="H637" s="79">
        <f t="shared" si="19"/>
        <v>-6.2192796061156779E-3</v>
      </c>
    </row>
    <row r="638" spans="2:8">
      <c r="B638" s="76">
        <v>44022</v>
      </c>
      <c r="C638" s="77">
        <v>19.91</v>
      </c>
      <c r="D638" s="79">
        <f t="shared" si="18"/>
        <v>1.6334864726901495E-2</v>
      </c>
      <c r="F638" s="76">
        <v>44022</v>
      </c>
      <c r="G638" s="78">
        <v>38.759998000000003</v>
      </c>
      <c r="H638" s="79">
        <f t="shared" si="19"/>
        <v>1.0691004468892117E-2</v>
      </c>
    </row>
    <row r="639" spans="2:8">
      <c r="B639" s="76">
        <v>44025</v>
      </c>
      <c r="C639" s="77">
        <v>19.34</v>
      </c>
      <c r="D639" s="79">
        <f t="shared" si="18"/>
        <v>-2.8628829733802125E-2</v>
      </c>
      <c r="F639" s="76">
        <v>44025</v>
      </c>
      <c r="G639" s="78">
        <v>38.409999999999997</v>
      </c>
      <c r="H639" s="79">
        <f t="shared" si="19"/>
        <v>-9.0298766269287841E-3</v>
      </c>
    </row>
    <row r="640" spans="2:8">
      <c r="B640" s="76">
        <v>44026</v>
      </c>
      <c r="C640" s="77">
        <v>20.719999000000001</v>
      </c>
      <c r="D640" s="79">
        <f t="shared" si="18"/>
        <v>7.1354653567735349E-2</v>
      </c>
      <c r="F640" s="76">
        <v>44026</v>
      </c>
      <c r="G640" s="78">
        <v>38.939999</v>
      </c>
      <c r="H640" s="79">
        <f t="shared" si="19"/>
        <v>1.379846394168195E-2</v>
      </c>
    </row>
    <row r="641" spans="2:8">
      <c r="B641" s="76">
        <v>44027</v>
      </c>
      <c r="C641" s="77">
        <v>22.02</v>
      </c>
      <c r="D641" s="79">
        <f t="shared" si="18"/>
        <v>6.2741364031919017E-2</v>
      </c>
      <c r="F641" s="76">
        <v>44027</v>
      </c>
      <c r="G641" s="78">
        <v>39.360000999999997</v>
      </c>
      <c r="H641" s="79">
        <f t="shared" si="19"/>
        <v>1.0785875983201659E-2</v>
      </c>
    </row>
    <row r="642" spans="2:8">
      <c r="B642" s="76">
        <v>44028</v>
      </c>
      <c r="C642" s="77">
        <v>22.35</v>
      </c>
      <c r="D642" s="79">
        <f t="shared" si="18"/>
        <v>1.4986376021798449E-2</v>
      </c>
      <c r="F642" s="76">
        <v>44028</v>
      </c>
      <c r="G642" s="78">
        <v>39.200001</v>
      </c>
      <c r="H642" s="79">
        <f t="shared" si="19"/>
        <v>-4.0650405471279486E-3</v>
      </c>
    </row>
    <row r="643" spans="2:8">
      <c r="B643" s="76">
        <v>44029</v>
      </c>
      <c r="C643" s="77">
        <v>22.049999</v>
      </c>
      <c r="D643" s="79">
        <f t="shared" si="18"/>
        <v>-1.3422863534675693E-2</v>
      </c>
      <c r="F643" s="76">
        <v>44029</v>
      </c>
      <c r="G643" s="78">
        <v>39.330002</v>
      </c>
      <c r="H643" s="79">
        <f t="shared" si="19"/>
        <v>3.3163519562155121E-3</v>
      </c>
    </row>
    <row r="644" spans="2:8">
      <c r="B644" s="76">
        <v>44032</v>
      </c>
      <c r="C644" s="77">
        <v>21.9</v>
      </c>
      <c r="D644" s="79">
        <f t="shared" si="18"/>
        <v>-6.8026760454728864E-3</v>
      </c>
      <c r="F644" s="76">
        <v>44032</v>
      </c>
      <c r="G644" s="78">
        <v>39.610000999999997</v>
      </c>
      <c r="H644" s="79">
        <f t="shared" si="19"/>
        <v>7.1192216059382998E-3</v>
      </c>
    </row>
    <row r="645" spans="2:8">
      <c r="B645" s="76">
        <v>44033</v>
      </c>
      <c r="C645" s="77">
        <v>22.27</v>
      </c>
      <c r="D645" s="79">
        <f t="shared" si="18"/>
        <v>1.6894977168949818E-2</v>
      </c>
      <c r="F645" s="76">
        <v>44033</v>
      </c>
      <c r="G645" s="78">
        <v>39.709999000000003</v>
      </c>
      <c r="H645" s="79">
        <f t="shared" si="19"/>
        <v>2.5245644401777844E-3</v>
      </c>
    </row>
    <row r="646" spans="2:8">
      <c r="B646" s="76">
        <v>44034</v>
      </c>
      <c r="C646" s="77">
        <v>23.290001</v>
      </c>
      <c r="D646" s="79">
        <f t="shared" ref="D646:D709" si="20">(C646-C645)/C645</f>
        <v>4.5801571621014843E-2</v>
      </c>
      <c r="F646" s="76">
        <v>44034</v>
      </c>
      <c r="G646" s="78">
        <v>39.950001</v>
      </c>
      <c r="H646" s="79">
        <f t="shared" ref="H646:H709" si="21">(G646-G645)/G645</f>
        <v>6.0438681955141049E-3</v>
      </c>
    </row>
    <row r="647" spans="2:8">
      <c r="B647" s="76">
        <v>44035</v>
      </c>
      <c r="C647" s="77">
        <v>23.26</v>
      </c>
      <c r="D647" s="79">
        <f t="shared" si="20"/>
        <v>-1.2881493650429045E-3</v>
      </c>
      <c r="F647" s="76">
        <v>44035</v>
      </c>
      <c r="G647" s="78">
        <v>39.490001999999997</v>
      </c>
      <c r="H647" s="79">
        <f t="shared" si="21"/>
        <v>-1.1514367671730556E-2</v>
      </c>
    </row>
    <row r="648" spans="2:8">
      <c r="B648" s="76">
        <v>44036</v>
      </c>
      <c r="C648" s="77">
        <v>23.1</v>
      </c>
      <c r="D648" s="79">
        <f t="shared" si="20"/>
        <v>-6.8787618228718884E-3</v>
      </c>
      <c r="F648" s="76">
        <v>44036</v>
      </c>
      <c r="G648" s="78">
        <v>39.259998000000003</v>
      </c>
      <c r="H648" s="79">
        <f t="shared" si="21"/>
        <v>-5.8243603026404984E-3</v>
      </c>
    </row>
    <row r="649" spans="2:8">
      <c r="B649" s="76">
        <v>44039</v>
      </c>
      <c r="C649" s="77">
        <v>23.809999000000001</v>
      </c>
      <c r="D649" s="79">
        <f t="shared" si="20"/>
        <v>3.0735887445887438E-2</v>
      </c>
      <c r="F649" s="76">
        <v>44039</v>
      </c>
      <c r="G649" s="78">
        <v>39.549999</v>
      </c>
      <c r="H649" s="79">
        <f t="shared" si="21"/>
        <v>7.3866789295301697E-3</v>
      </c>
    </row>
    <row r="650" spans="2:8">
      <c r="B650" s="76">
        <v>44040</v>
      </c>
      <c r="C650" s="77">
        <v>22.559999000000001</v>
      </c>
      <c r="D650" s="79">
        <f t="shared" si="20"/>
        <v>-5.2498952225911472E-2</v>
      </c>
      <c r="F650" s="76">
        <v>44040</v>
      </c>
      <c r="G650" s="78">
        <v>39.290000999999997</v>
      </c>
      <c r="H650" s="79">
        <f t="shared" si="21"/>
        <v>-6.5739066137524569E-3</v>
      </c>
    </row>
    <row r="651" spans="2:8">
      <c r="B651" s="76">
        <v>44041</v>
      </c>
      <c r="C651" s="77">
        <v>23.700001</v>
      </c>
      <c r="D651" s="79">
        <f t="shared" si="20"/>
        <v>5.0532005785993123E-2</v>
      </c>
      <c r="F651" s="76">
        <v>44041</v>
      </c>
      <c r="G651" s="78">
        <v>39.810001</v>
      </c>
      <c r="H651" s="79">
        <f t="shared" si="21"/>
        <v>1.3234919490075939E-2</v>
      </c>
    </row>
    <row r="652" spans="2:8">
      <c r="B652" s="76">
        <v>44042</v>
      </c>
      <c r="C652" s="77">
        <v>23.43</v>
      </c>
      <c r="D652" s="79">
        <f t="shared" si="20"/>
        <v>-1.1392446776690034E-2</v>
      </c>
      <c r="F652" s="76">
        <v>44042</v>
      </c>
      <c r="G652" s="78">
        <v>39.659999999999997</v>
      </c>
      <c r="H652" s="79">
        <f t="shared" si="21"/>
        <v>-3.7679225378568354E-3</v>
      </c>
    </row>
    <row r="653" spans="2:8">
      <c r="B653" s="76">
        <v>44043</v>
      </c>
      <c r="C653" s="77">
        <v>23.690000999999999</v>
      </c>
      <c r="D653" s="79">
        <f t="shared" si="20"/>
        <v>1.1096927016645285E-2</v>
      </c>
      <c r="F653" s="76">
        <v>44043</v>
      </c>
      <c r="G653" s="78">
        <v>39.909999999999997</v>
      </c>
      <c r="H653" s="79">
        <f t="shared" si="21"/>
        <v>6.3035804336863347E-3</v>
      </c>
    </row>
    <row r="654" spans="2:8">
      <c r="B654" s="76">
        <v>44046</v>
      </c>
      <c r="C654" s="77">
        <v>27.27</v>
      </c>
      <c r="D654" s="79">
        <f t="shared" si="20"/>
        <v>0.15111856685865066</v>
      </c>
      <c r="F654" s="76">
        <v>44046</v>
      </c>
      <c r="G654" s="78">
        <v>40.200001</v>
      </c>
      <c r="H654" s="79">
        <f t="shared" si="21"/>
        <v>7.2663743422702017E-3</v>
      </c>
    </row>
    <row r="655" spans="2:8">
      <c r="B655" s="76">
        <v>44047</v>
      </c>
      <c r="C655" s="77">
        <v>26.219999000000001</v>
      </c>
      <c r="D655" s="79">
        <f t="shared" si="20"/>
        <v>-3.8503887055372138E-2</v>
      </c>
      <c r="F655" s="76">
        <v>44047</v>
      </c>
      <c r="G655" s="78">
        <v>40.349997999999999</v>
      </c>
      <c r="H655" s="79">
        <f t="shared" si="21"/>
        <v>3.7312685638987682E-3</v>
      </c>
    </row>
    <row r="656" spans="2:8">
      <c r="B656" s="76">
        <v>44048</v>
      </c>
      <c r="C656" s="77">
        <v>26.530000999999999</v>
      </c>
      <c r="D656" s="79">
        <f t="shared" si="20"/>
        <v>1.1823112579065972E-2</v>
      </c>
      <c r="F656" s="76">
        <v>44048</v>
      </c>
      <c r="G656" s="78">
        <v>40.659999999999997</v>
      </c>
      <c r="H656" s="79">
        <f t="shared" si="21"/>
        <v>7.6828256596195429E-3</v>
      </c>
    </row>
    <row r="657" spans="2:8">
      <c r="B657" s="76">
        <v>44049</v>
      </c>
      <c r="C657" s="77">
        <v>26.49</v>
      </c>
      <c r="D657" s="79">
        <f t="shared" si="20"/>
        <v>-1.5077647377397451E-3</v>
      </c>
      <c r="F657" s="76">
        <v>44049</v>
      </c>
      <c r="G657" s="78">
        <v>40.880001</v>
      </c>
      <c r="H657" s="79">
        <f t="shared" si="21"/>
        <v>5.4107476635514868E-3</v>
      </c>
    </row>
    <row r="658" spans="2:8">
      <c r="B658" s="76">
        <v>44050</v>
      </c>
      <c r="C658" s="77">
        <v>26.92</v>
      </c>
      <c r="D658" s="79">
        <f t="shared" si="20"/>
        <v>1.6232540581351578E-2</v>
      </c>
      <c r="F658" s="76">
        <v>44050</v>
      </c>
      <c r="G658" s="78">
        <v>40.98</v>
      </c>
      <c r="H658" s="79">
        <f t="shared" si="21"/>
        <v>2.4461594313561008E-3</v>
      </c>
    </row>
    <row r="659" spans="2:8">
      <c r="B659" s="76">
        <v>44053</v>
      </c>
      <c r="C659" s="77">
        <v>27.780000999999999</v>
      </c>
      <c r="D659" s="79">
        <f t="shared" si="20"/>
        <v>3.1946545319464968E-2</v>
      </c>
      <c r="F659" s="76">
        <v>44053</v>
      </c>
      <c r="G659" s="78">
        <v>41.099997999999999</v>
      </c>
      <c r="H659" s="79">
        <f t="shared" si="21"/>
        <v>2.9282088823817105E-3</v>
      </c>
    </row>
    <row r="660" spans="2:8">
      <c r="B660" s="76">
        <v>44054</v>
      </c>
      <c r="C660" s="77">
        <v>27.059999000000001</v>
      </c>
      <c r="D660" s="79">
        <f t="shared" si="20"/>
        <v>-2.5917997627141819E-2</v>
      </c>
      <c r="F660" s="76">
        <v>44054</v>
      </c>
      <c r="G660" s="78">
        <v>40.810001</v>
      </c>
      <c r="H660" s="79">
        <f t="shared" si="21"/>
        <v>-7.0558884212111065E-3</v>
      </c>
    </row>
    <row r="661" spans="2:8">
      <c r="B661" s="76">
        <v>44055</v>
      </c>
      <c r="C661" s="77">
        <v>30.360001</v>
      </c>
      <c r="D661" s="79">
        <f t="shared" si="20"/>
        <v>0.12195129792872494</v>
      </c>
      <c r="F661" s="76">
        <v>44055</v>
      </c>
      <c r="G661" s="78">
        <v>41.310001</v>
      </c>
      <c r="H661" s="79">
        <f t="shared" si="21"/>
        <v>1.2251898744133821E-2</v>
      </c>
    </row>
    <row r="662" spans="2:8">
      <c r="B662" s="76">
        <v>44056</v>
      </c>
      <c r="C662" s="77">
        <v>31.379999000000002</v>
      </c>
      <c r="D662" s="79">
        <f t="shared" si="20"/>
        <v>3.3596770961898226E-2</v>
      </c>
      <c r="F662" s="76">
        <v>44056</v>
      </c>
      <c r="G662" s="78">
        <v>41.259998000000003</v>
      </c>
      <c r="H662" s="79">
        <f t="shared" si="21"/>
        <v>-1.2104332798248223E-3</v>
      </c>
    </row>
    <row r="663" spans="2:8">
      <c r="B663" s="76">
        <v>44057</v>
      </c>
      <c r="C663" s="77">
        <v>30.27</v>
      </c>
      <c r="D663" s="79">
        <f t="shared" si="20"/>
        <v>-3.5372818208184199E-2</v>
      </c>
      <c r="F663" s="76">
        <v>44057</v>
      </c>
      <c r="G663" s="78">
        <v>41.23</v>
      </c>
      <c r="H663" s="79">
        <f t="shared" si="21"/>
        <v>-7.2704802360887613E-4</v>
      </c>
    </row>
    <row r="664" spans="2:8">
      <c r="B664" s="76">
        <v>44060</v>
      </c>
      <c r="C664" s="77">
        <v>30.02</v>
      </c>
      <c r="D664" s="79">
        <f t="shared" si="20"/>
        <v>-8.2590023125206479E-3</v>
      </c>
      <c r="F664" s="76">
        <v>44060</v>
      </c>
      <c r="G664" s="78">
        <v>41.360000999999997</v>
      </c>
      <c r="H664" s="79">
        <f t="shared" si="21"/>
        <v>3.1530681542566103E-3</v>
      </c>
    </row>
    <row r="665" spans="2:8">
      <c r="B665" s="76">
        <v>44061</v>
      </c>
      <c r="C665" s="77">
        <v>29.49</v>
      </c>
      <c r="D665" s="79">
        <f t="shared" si="20"/>
        <v>-1.7654896735509698E-2</v>
      </c>
      <c r="F665" s="76">
        <v>44061</v>
      </c>
      <c r="G665" s="78">
        <v>41.400002000000001</v>
      </c>
      <c r="H665" s="79">
        <f t="shared" si="21"/>
        <v>9.6714214296087008E-4</v>
      </c>
    </row>
    <row r="666" spans="2:8">
      <c r="B666" s="76">
        <v>44062</v>
      </c>
      <c r="C666" s="77">
        <v>28.809999000000001</v>
      </c>
      <c r="D666" s="79">
        <f t="shared" si="20"/>
        <v>-2.305869786368251E-2</v>
      </c>
      <c r="F666" s="76">
        <v>44062</v>
      </c>
      <c r="G666" s="78">
        <v>41.259998000000003</v>
      </c>
      <c r="H666" s="79">
        <f t="shared" si="21"/>
        <v>-3.3817389670656919E-3</v>
      </c>
    </row>
    <row r="667" spans="2:8">
      <c r="B667" s="76">
        <v>44063</v>
      </c>
      <c r="C667" s="77">
        <v>28.17</v>
      </c>
      <c r="D667" s="79">
        <f t="shared" si="20"/>
        <v>-2.2214474911991477E-2</v>
      </c>
      <c r="F667" s="76">
        <v>44063</v>
      </c>
      <c r="G667" s="78">
        <v>41.349997999999999</v>
      </c>
      <c r="H667" s="79">
        <f t="shared" si="21"/>
        <v>2.181289490125431E-3</v>
      </c>
    </row>
    <row r="668" spans="2:8">
      <c r="B668" s="76">
        <v>44064</v>
      </c>
      <c r="C668" s="77">
        <v>28.620000999999998</v>
      </c>
      <c r="D668" s="79">
        <f t="shared" si="20"/>
        <v>1.5974476393326116E-2</v>
      </c>
      <c r="F668" s="76">
        <v>44064</v>
      </c>
      <c r="G668" s="78">
        <v>41.48</v>
      </c>
      <c r="H668" s="79">
        <f t="shared" si="21"/>
        <v>3.1439421109523999E-3</v>
      </c>
    </row>
    <row r="669" spans="2:8">
      <c r="B669" s="76">
        <v>44067</v>
      </c>
      <c r="C669" s="77">
        <v>28.129999000000002</v>
      </c>
      <c r="D669" s="79">
        <f t="shared" si="20"/>
        <v>-1.7120963762370132E-2</v>
      </c>
      <c r="F669" s="76">
        <v>44067</v>
      </c>
      <c r="G669" s="78">
        <v>41.91</v>
      </c>
      <c r="H669" s="79">
        <f t="shared" si="21"/>
        <v>1.0366441658630659E-2</v>
      </c>
    </row>
    <row r="670" spans="2:8">
      <c r="B670" s="76">
        <v>44068</v>
      </c>
      <c r="C670" s="77">
        <v>28.030000999999999</v>
      </c>
      <c r="D670" s="79">
        <f t="shared" si="20"/>
        <v>-3.5548525970442767E-3</v>
      </c>
      <c r="F670" s="76">
        <v>44068</v>
      </c>
      <c r="G670" s="78">
        <v>42.060001</v>
      </c>
      <c r="H670" s="79">
        <f t="shared" si="21"/>
        <v>3.5791219279409014E-3</v>
      </c>
    </row>
    <row r="671" spans="2:8">
      <c r="B671" s="76">
        <v>44069</v>
      </c>
      <c r="C671" s="77">
        <v>27.91</v>
      </c>
      <c r="D671" s="79">
        <f t="shared" si="20"/>
        <v>-4.281162886865344E-3</v>
      </c>
      <c r="F671" s="76">
        <v>44069</v>
      </c>
      <c r="G671" s="78">
        <v>42.43</v>
      </c>
      <c r="H671" s="79">
        <f t="shared" si="21"/>
        <v>8.7969327437724017E-3</v>
      </c>
    </row>
    <row r="672" spans="2:8">
      <c r="B672" s="76">
        <v>44070</v>
      </c>
      <c r="C672" s="77">
        <v>30.24</v>
      </c>
      <c r="D672" s="79">
        <f t="shared" si="20"/>
        <v>8.3482622715872382E-2</v>
      </c>
      <c r="F672" s="76">
        <v>44070</v>
      </c>
      <c r="G672" s="78">
        <v>42.5</v>
      </c>
      <c r="H672" s="79">
        <f t="shared" si="21"/>
        <v>1.6497761018147603E-3</v>
      </c>
    </row>
    <row r="673" spans="2:8">
      <c r="B673" s="76">
        <v>44071</v>
      </c>
      <c r="C673" s="77">
        <v>31.67</v>
      </c>
      <c r="D673" s="79">
        <f t="shared" si="20"/>
        <v>4.72883597883599E-2</v>
      </c>
      <c r="F673" s="76">
        <v>44071</v>
      </c>
      <c r="G673" s="78">
        <v>42.77</v>
      </c>
      <c r="H673" s="79">
        <f t="shared" si="21"/>
        <v>6.3529411764706618E-3</v>
      </c>
    </row>
    <row r="674" spans="2:8">
      <c r="B674" s="76">
        <v>44074</v>
      </c>
      <c r="C674" s="77">
        <v>30.620000999999998</v>
      </c>
      <c r="D674" s="79">
        <f t="shared" si="20"/>
        <v>-3.315437322387127E-2</v>
      </c>
      <c r="F674" s="76">
        <v>44074</v>
      </c>
      <c r="G674" s="78">
        <v>42.639999000000003</v>
      </c>
      <c r="H674" s="79">
        <f t="shared" si="21"/>
        <v>-3.0395370586859954E-3</v>
      </c>
    </row>
    <row r="675" spans="2:8">
      <c r="B675" s="76">
        <v>44075</v>
      </c>
      <c r="C675" s="77">
        <v>30.98</v>
      </c>
      <c r="D675" s="79">
        <f t="shared" si="20"/>
        <v>1.175698851218202E-2</v>
      </c>
      <c r="F675" s="76">
        <v>44075</v>
      </c>
      <c r="G675" s="78">
        <v>43</v>
      </c>
      <c r="H675" s="79">
        <f t="shared" si="21"/>
        <v>8.4428003856190734E-3</v>
      </c>
    </row>
    <row r="676" spans="2:8">
      <c r="B676" s="76">
        <v>44076</v>
      </c>
      <c r="C676" s="77">
        <v>31.52</v>
      </c>
      <c r="D676" s="79">
        <f t="shared" si="20"/>
        <v>1.7430600387346649E-2</v>
      </c>
      <c r="F676" s="76">
        <v>44076</v>
      </c>
      <c r="G676" s="78">
        <v>43.650002000000001</v>
      </c>
      <c r="H676" s="79">
        <f t="shared" si="21"/>
        <v>1.5116325581395364E-2</v>
      </c>
    </row>
    <row r="677" spans="2:8">
      <c r="B677" s="76">
        <v>44077</v>
      </c>
      <c r="C677" s="77">
        <v>30.16</v>
      </c>
      <c r="D677" s="79">
        <f t="shared" si="20"/>
        <v>-4.3147208121827395E-2</v>
      </c>
      <c r="F677" s="76">
        <v>44077</v>
      </c>
      <c r="G677" s="78">
        <v>42.169998</v>
      </c>
      <c r="H677" s="79">
        <f t="shared" si="21"/>
        <v>-3.3906161103955987E-2</v>
      </c>
    </row>
    <row r="678" spans="2:8">
      <c r="B678" s="76">
        <v>44078</v>
      </c>
      <c r="C678" s="77">
        <v>30.02</v>
      </c>
      <c r="D678" s="79">
        <f t="shared" si="20"/>
        <v>-4.6419098143236264E-3</v>
      </c>
      <c r="F678" s="76">
        <v>44078</v>
      </c>
      <c r="G678" s="78">
        <v>41.830002</v>
      </c>
      <c r="H678" s="79">
        <f t="shared" si="21"/>
        <v>-8.0625092749589244E-3</v>
      </c>
    </row>
    <row r="679" spans="2:8">
      <c r="B679" s="76">
        <v>44082</v>
      </c>
      <c r="C679" s="77">
        <v>30.02</v>
      </c>
      <c r="D679" s="79">
        <f t="shared" si="20"/>
        <v>0</v>
      </c>
      <c r="F679" s="76">
        <v>44082</v>
      </c>
      <c r="G679" s="78">
        <v>40.669998</v>
      </c>
      <c r="H679" s="79">
        <f t="shared" si="21"/>
        <v>-2.7731387629386216E-2</v>
      </c>
    </row>
    <row r="680" spans="2:8">
      <c r="B680" s="76">
        <v>44083</v>
      </c>
      <c r="C680" s="77">
        <v>30.92</v>
      </c>
      <c r="D680" s="79">
        <f t="shared" si="20"/>
        <v>2.9980013324450439E-2</v>
      </c>
      <c r="F680" s="76">
        <v>44083</v>
      </c>
      <c r="G680" s="78">
        <v>41.470001000000003</v>
      </c>
      <c r="H680" s="79">
        <f t="shared" si="21"/>
        <v>1.9670593541706194E-2</v>
      </c>
    </row>
    <row r="681" spans="2:8">
      <c r="B681" s="76">
        <v>44084</v>
      </c>
      <c r="C681" s="77">
        <v>31.219999000000001</v>
      </c>
      <c r="D681" s="79">
        <f t="shared" si="20"/>
        <v>9.7024256144889933E-3</v>
      </c>
      <c r="F681" s="76">
        <v>44084</v>
      </c>
      <c r="G681" s="78">
        <v>40.740001999999997</v>
      </c>
      <c r="H681" s="79">
        <f t="shared" si="21"/>
        <v>-1.7603062030309726E-2</v>
      </c>
    </row>
    <row r="682" spans="2:8">
      <c r="B682" s="76">
        <v>44085</v>
      </c>
      <c r="C682" s="77">
        <v>31.9</v>
      </c>
      <c r="D682" s="79">
        <f t="shared" si="20"/>
        <v>2.1780942401695695E-2</v>
      </c>
      <c r="F682" s="76">
        <v>44085</v>
      </c>
      <c r="G682" s="78">
        <v>40.75</v>
      </c>
      <c r="H682" s="79">
        <f t="shared" si="21"/>
        <v>2.4540990449639795E-4</v>
      </c>
    </row>
    <row r="683" spans="2:8">
      <c r="B683" s="76">
        <v>44088</v>
      </c>
      <c r="C683" s="77">
        <v>32.849997999999999</v>
      </c>
      <c r="D683" s="79">
        <f t="shared" si="20"/>
        <v>2.9780501567398147E-2</v>
      </c>
      <c r="F683" s="76">
        <v>44088</v>
      </c>
      <c r="G683" s="78">
        <v>41.330002</v>
      </c>
      <c r="H683" s="79">
        <f t="shared" si="21"/>
        <v>1.4233177914110438E-2</v>
      </c>
    </row>
    <row r="684" spans="2:8">
      <c r="B684" s="76">
        <v>44089</v>
      </c>
      <c r="C684" s="77">
        <v>32.580002</v>
      </c>
      <c r="D684" s="79">
        <f t="shared" si="20"/>
        <v>-8.21905681698973E-3</v>
      </c>
      <c r="F684" s="76">
        <v>44089</v>
      </c>
      <c r="G684" s="78">
        <v>41.529998999999997</v>
      </c>
      <c r="H684" s="79">
        <f t="shared" si="21"/>
        <v>4.8390271067491409E-3</v>
      </c>
    </row>
    <row r="685" spans="2:8">
      <c r="B685" s="76">
        <v>44090</v>
      </c>
      <c r="C685" s="77">
        <v>33.169998</v>
      </c>
      <c r="D685" s="79">
        <f t="shared" si="20"/>
        <v>1.8109145604103993E-2</v>
      </c>
      <c r="F685" s="76">
        <v>44090</v>
      </c>
      <c r="G685" s="78">
        <v>41.389999000000003</v>
      </c>
      <c r="H685" s="79">
        <f t="shared" si="21"/>
        <v>-3.3710571483518089E-3</v>
      </c>
    </row>
    <row r="686" spans="2:8">
      <c r="B686" s="76">
        <v>44091</v>
      </c>
      <c r="C686" s="77">
        <v>32.279998999999997</v>
      </c>
      <c r="D686" s="79">
        <f t="shared" si="20"/>
        <v>-2.6831445693786388E-2</v>
      </c>
      <c r="F686" s="76">
        <v>44091</v>
      </c>
      <c r="G686" s="78">
        <v>41.040000999999997</v>
      </c>
      <c r="H686" s="79">
        <f t="shared" si="21"/>
        <v>-8.4561007116720748E-3</v>
      </c>
    </row>
    <row r="687" spans="2:8">
      <c r="B687" s="76">
        <v>44092</v>
      </c>
      <c r="C687" s="77">
        <v>31.709999</v>
      </c>
      <c r="D687" s="79">
        <f t="shared" si="20"/>
        <v>-1.7657993112081473E-2</v>
      </c>
      <c r="F687" s="76">
        <v>44092</v>
      </c>
      <c r="G687" s="78">
        <v>40.580002</v>
      </c>
      <c r="H687" s="79">
        <f t="shared" si="21"/>
        <v>-1.1208552358465983E-2</v>
      </c>
    </row>
    <row r="688" spans="2:8">
      <c r="B688" s="76">
        <v>44095</v>
      </c>
      <c r="C688" s="77">
        <v>30.049999</v>
      </c>
      <c r="D688" s="79">
        <f t="shared" si="20"/>
        <v>-5.2349418238707611E-2</v>
      </c>
      <c r="F688" s="76">
        <v>44095</v>
      </c>
      <c r="G688" s="78">
        <v>39.900002000000001</v>
      </c>
      <c r="H688" s="79">
        <f t="shared" si="21"/>
        <v>-1.6757022338244332E-2</v>
      </c>
    </row>
    <row r="689" spans="2:8">
      <c r="B689" s="76">
        <v>44096</v>
      </c>
      <c r="C689" s="77">
        <v>30.83</v>
      </c>
      <c r="D689" s="79">
        <f t="shared" si="20"/>
        <v>2.5956772910375094E-2</v>
      </c>
      <c r="F689" s="76">
        <v>44096</v>
      </c>
      <c r="G689" s="78">
        <v>40.330002</v>
      </c>
      <c r="H689" s="79">
        <f t="shared" si="21"/>
        <v>1.0776941815692132E-2</v>
      </c>
    </row>
    <row r="690" spans="2:8">
      <c r="B690" s="76">
        <v>44097</v>
      </c>
      <c r="C690" s="77">
        <v>29.6</v>
      </c>
      <c r="D690" s="79">
        <f t="shared" si="20"/>
        <v>-3.9896204995134507E-2</v>
      </c>
      <c r="F690" s="76">
        <v>44097</v>
      </c>
      <c r="G690" s="78">
        <v>39.389999000000003</v>
      </c>
      <c r="H690" s="79">
        <f t="shared" si="21"/>
        <v>-2.3307784611565286E-2</v>
      </c>
    </row>
    <row r="691" spans="2:8">
      <c r="B691" s="76">
        <v>44098</v>
      </c>
      <c r="C691" s="77">
        <v>30.030000999999999</v>
      </c>
      <c r="D691" s="79">
        <f t="shared" si="20"/>
        <v>1.4527060810810715E-2</v>
      </c>
      <c r="F691" s="76">
        <v>44098</v>
      </c>
      <c r="G691" s="78">
        <v>39.490001999999997</v>
      </c>
      <c r="H691" s="79">
        <f t="shared" si="21"/>
        <v>2.5387916359173768E-3</v>
      </c>
    </row>
    <row r="692" spans="2:8">
      <c r="B692" s="76">
        <v>44099</v>
      </c>
      <c r="C692" s="77">
        <v>30.59</v>
      </c>
      <c r="D692" s="79">
        <f t="shared" si="20"/>
        <v>1.8647984727006878E-2</v>
      </c>
      <c r="F692" s="76">
        <v>44099</v>
      </c>
      <c r="G692" s="78">
        <v>40.110000999999997</v>
      </c>
      <c r="H692" s="79">
        <f t="shared" si="21"/>
        <v>1.5700151142053628E-2</v>
      </c>
    </row>
    <row r="693" spans="2:8">
      <c r="B693" s="76">
        <v>44102</v>
      </c>
      <c r="C693" s="77">
        <v>32.299999</v>
      </c>
      <c r="D693" s="79">
        <f t="shared" si="20"/>
        <v>5.5900588427590714E-2</v>
      </c>
      <c r="F693" s="76">
        <v>44102</v>
      </c>
      <c r="G693" s="78">
        <v>40.810001</v>
      </c>
      <c r="H693" s="79">
        <f t="shared" si="21"/>
        <v>1.7452006545699235E-2</v>
      </c>
    </row>
    <row r="694" spans="2:8">
      <c r="B694" s="76">
        <v>44103</v>
      </c>
      <c r="C694" s="77">
        <v>32</v>
      </c>
      <c r="D694" s="79">
        <f t="shared" si="20"/>
        <v>-9.2878950243930249E-3</v>
      </c>
      <c r="F694" s="76">
        <v>44103</v>
      </c>
      <c r="G694" s="78">
        <v>40.590000000000003</v>
      </c>
      <c r="H694" s="79">
        <f t="shared" si="21"/>
        <v>-5.3908599512162798E-3</v>
      </c>
    </row>
    <row r="695" spans="2:8">
      <c r="B695" s="76">
        <v>44104</v>
      </c>
      <c r="C695" s="77">
        <v>32.619999</v>
      </c>
      <c r="D695" s="79">
        <f t="shared" si="20"/>
        <v>1.9374968749999999E-2</v>
      </c>
      <c r="F695" s="76">
        <v>44104</v>
      </c>
      <c r="G695" s="78">
        <v>40.889999000000003</v>
      </c>
      <c r="H695" s="79">
        <f t="shared" si="21"/>
        <v>7.3909583641290875E-3</v>
      </c>
    </row>
    <row r="696" spans="2:8">
      <c r="B696" s="76">
        <v>44105</v>
      </c>
      <c r="C696" s="77">
        <v>33.159999999999997</v>
      </c>
      <c r="D696" s="79">
        <f t="shared" si="20"/>
        <v>1.6554292352982496E-2</v>
      </c>
      <c r="F696" s="76">
        <v>44105</v>
      </c>
      <c r="G696" s="78">
        <v>41.169998</v>
      </c>
      <c r="H696" s="79">
        <f t="shared" si="21"/>
        <v>6.8476157213893923E-3</v>
      </c>
    </row>
    <row r="697" spans="2:8">
      <c r="B697" s="76">
        <v>44106</v>
      </c>
      <c r="C697" s="77">
        <v>33.689999</v>
      </c>
      <c r="D697" s="79">
        <f t="shared" si="20"/>
        <v>1.5983082026538111E-2</v>
      </c>
      <c r="F697" s="76">
        <v>44106</v>
      </c>
      <c r="G697" s="78">
        <v>40.840000000000003</v>
      </c>
      <c r="H697" s="79">
        <f t="shared" si="21"/>
        <v>-8.0154971102985289E-3</v>
      </c>
    </row>
    <row r="698" spans="2:8">
      <c r="B698" s="76">
        <v>44109</v>
      </c>
      <c r="C698" s="77">
        <v>33.389999000000003</v>
      </c>
      <c r="D698" s="79">
        <f t="shared" si="20"/>
        <v>-8.9047197656490634E-3</v>
      </c>
      <c r="F698" s="76">
        <v>44109</v>
      </c>
      <c r="G698" s="78">
        <v>41.59</v>
      </c>
      <c r="H698" s="79">
        <f t="shared" si="21"/>
        <v>1.8364348677766894E-2</v>
      </c>
    </row>
    <row r="699" spans="2:8">
      <c r="B699" s="76">
        <v>44110</v>
      </c>
      <c r="C699" s="77">
        <v>33.419998</v>
      </c>
      <c r="D699" s="79">
        <f t="shared" si="20"/>
        <v>8.984426744066855E-4</v>
      </c>
      <c r="F699" s="76">
        <v>44110</v>
      </c>
      <c r="G699" s="78">
        <v>41.040000999999997</v>
      </c>
      <c r="H699" s="79">
        <f t="shared" si="21"/>
        <v>-1.3224308728059792E-2</v>
      </c>
    </row>
    <row r="700" spans="2:8">
      <c r="B700" s="76">
        <v>44111</v>
      </c>
      <c r="C700" s="77">
        <v>33.840000000000003</v>
      </c>
      <c r="D700" s="79">
        <f t="shared" si="20"/>
        <v>1.2567385551609063E-2</v>
      </c>
      <c r="F700" s="76">
        <v>44111</v>
      </c>
      <c r="G700" s="78">
        <v>41.73</v>
      </c>
      <c r="H700" s="79">
        <f t="shared" si="21"/>
        <v>1.6812840720934689E-2</v>
      </c>
    </row>
    <row r="701" spans="2:8">
      <c r="B701" s="76">
        <v>44112</v>
      </c>
      <c r="C701" s="77">
        <v>33.869999</v>
      </c>
      <c r="D701" s="79">
        <f t="shared" si="20"/>
        <v>8.8649527186751044E-4</v>
      </c>
      <c r="F701" s="76">
        <v>44112</v>
      </c>
      <c r="G701" s="78">
        <v>42.110000999999997</v>
      </c>
      <c r="H701" s="79">
        <f t="shared" si="21"/>
        <v>9.1061826024442863E-3</v>
      </c>
    </row>
    <row r="702" spans="2:8">
      <c r="B702" s="76">
        <v>44113</v>
      </c>
      <c r="C702" s="77">
        <v>34</v>
      </c>
      <c r="D702" s="79">
        <f t="shared" si="20"/>
        <v>3.8382345390680418E-3</v>
      </c>
      <c r="F702" s="76">
        <v>44113</v>
      </c>
      <c r="G702" s="78">
        <v>42.439999</v>
      </c>
      <c r="H702" s="79">
        <f t="shared" si="21"/>
        <v>7.8365706996778115E-3</v>
      </c>
    </row>
    <row r="703" spans="2:8">
      <c r="B703" s="76">
        <v>44116</v>
      </c>
      <c r="C703" s="77">
        <v>34.540000999999997</v>
      </c>
      <c r="D703" s="79">
        <f t="shared" si="20"/>
        <v>1.5882382352941076E-2</v>
      </c>
      <c r="F703" s="76">
        <v>44116</v>
      </c>
      <c r="G703" s="78">
        <v>43.099997999999999</v>
      </c>
      <c r="H703" s="79">
        <f t="shared" si="21"/>
        <v>1.5551343439004302E-2</v>
      </c>
    </row>
    <row r="704" spans="2:8">
      <c r="B704" s="76">
        <v>44117</v>
      </c>
      <c r="C704" s="77">
        <v>34.18</v>
      </c>
      <c r="D704" s="79">
        <f t="shared" si="20"/>
        <v>-1.0422726970969021E-2</v>
      </c>
      <c r="F704" s="76">
        <v>44117</v>
      </c>
      <c r="G704" s="78">
        <v>42.84</v>
      </c>
      <c r="H704" s="79">
        <f t="shared" si="21"/>
        <v>-6.0324364748229444E-3</v>
      </c>
    </row>
    <row r="705" spans="2:8">
      <c r="B705" s="76">
        <v>44118</v>
      </c>
      <c r="C705" s="77">
        <v>33.909999999999997</v>
      </c>
      <c r="D705" s="79">
        <f t="shared" si="20"/>
        <v>-7.8993563487420454E-3</v>
      </c>
      <c r="F705" s="76">
        <v>44118</v>
      </c>
      <c r="G705" s="78">
        <v>42.549999</v>
      </c>
      <c r="H705" s="79">
        <f t="shared" si="21"/>
        <v>-6.7693977591037277E-3</v>
      </c>
    </row>
    <row r="706" spans="2:8">
      <c r="B706" s="76">
        <v>44119</v>
      </c>
      <c r="C706" s="77">
        <v>34.18</v>
      </c>
      <c r="D706" s="79">
        <f t="shared" si="20"/>
        <v>7.9622530227072587E-3</v>
      </c>
      <c r="F706" s="76">
        <v>44119</v>
      </c>
      <c r="G706" s="78">
        <v>42.529998999999997</v>
      </c>
      <c r="H706" s="79">
        <f t="shared" si="21"/>
        <v>-4.7003526369067899E-4</v>
      </c>
    </row>
    <row r="707" spans="2:8">
      <c r="B707" s="76">
        <v>44120</v>
      </c>
      <c r="C707" s="77">
        <v>33.5</v>
      </c>
      <c r="D707" s="79">
        <f t="shared" si="20"/>
        <v>-1.9894675248683432E-2</v>
      </c>
      <c r="F707" s="76">
        <v>44120</v>
      </c>
      <c r="G707" s="78">
        <v>42.5</v>
      </c>
      <c r="H707" s="79">
        <f t="shared" si="21"/>
        <v>-7.0536093828726769E-4</v>
      </c>
    </row>
    <row r="708" spans="2:8">
      <c r="B708" s="76">
        <v>44123</v>
      </c>
      <c r="C708" s="77">
        <v>32.68</v>
      </c>
      <c r="D708" s="79">
        <f t="shared" si="20"/>
        <v>-2.4477611940298516E-2</v>
      </c>
      <c r="F708" s="76">
        <v>44123</v>
      </c>
      <c r="G708" s="78">
        <v>41.849997999999999</v>
      </c>
      <c r="H708" s="79">
        <f t="shared" si="21"/>
        <v>-1.5294164705882367E-2</v>
      </c>
    </row>
    <row r="709" spans="2:8">
      <c r="B709" s="76">
        <v>44124</v>
      </c>
      <c r="C709" s="77">
        <v>33.669998</v>
      </c>
      <c r="D709" s="79">
        <f t="shared" si="20"/>
        <v>3.0293696450428394E-2</v>
      </c>
      <c r="F709" s="76">
        <v>44124</v>
      </c>
      <c r="G709" s="78">
        <v>42.040000999999997</v>
      </c>
      <c r="H709" s="79">
        <f t="shared" si="21"/>
        <v>4.5400957964202831E-3</v>
      </c>
    </row>
    <row r="710" spans="2:8">
      <c r="B710" s="76">
        <v>44125</v>
      </c>
      <c r="C710" s="77">
        <v>32.549999</v>
      </c>
      <c r="D710" s="79">
        <f t="shared" ref="D710:D773" si="22">(C710-C709)/C709</f>
        <v>-3.3264005539887467E-2</v>
      </c>
      <c r="F710" s="76">
        <v>44125</v>
      </c>
      <c r="G710" s="78">
        <v>41.959999000000003</v>
      </c>
      <c r="H710" s="79">
        <f t="shared" ref="H710:H773" si="23">(G710-G709)/G709</f>
        <v>-1.9029971003091378E-3</v>
      </c>
    </row>
    <row r="711" spans="2:8">
      <c r="B711" s="76">
        <v>44126</v>
      </c>
      <c r="C711" s="77">
        <v>32.25</v>
      </c>
      <c r="D711" s="79">
        <f t="shared" si="22"/>
        <v>-9.2165594229357637E-3</v>
      </c>
      <c r="F711" s="76">
        <v>44126</v>
      </c>
      <c r="G711" s="78">
        <v>42.200001</v>
      </c>
      <c r="H711" s="79">
        <f t="shared" si="23"/>
        <v>5.7197808798803099E-3</v>
      </c>
    </row>
    <row r="712" spans="2:8">
      <c r="B712" s="76">
        <v>44127</v>
      </c>
      <c r="C712" s="77">
        <v>32.659999999999997</v>
      </c>
      <c r="D712" s="79">
        <f t="shared" si="22"/>
        <v>1.2713178294573538E-2</v>
      </c>
      <c r="F712" s="76">
        <v>44127</v>
      </c>
      <c r="G712" s="78">
        <v>42.349997999999999</v>
      </c>
      <c r="H712" s="79">
        <f t="shared" si="23"/>
        <v>3.554431195392603E-3</v>
      </c>
    </row>
    <row r="713" spans="2:8">
      <c r="B713" s="76">
        <v>44130</v>
      </c>
      <c r="C713" s="77">
        <v>31.690000999999999</v>
      </c>
      <c r="D713" s="79">
        <f t="shared" si="22"/>
        <v>-2.9699908144519227E-2</v>
      </c>
      <c r="F713" s="76">
        <v>44130</v>
      </c>
      <c r="G713" s="78">
        <v>41.57</v>
      </c>
      <c r="H713" s="79">
        <f t="shared" si="23"/>
        <v>-1.8417899334965709E-2</v>
      </c>
    </row>
    <row r="714" spans="2:8">
      <c r="B714" s="76">
        <v>44131</v>
      </c>
      <c r="C714" s="77">
        <v>31.35</v>
      </c>
      <c r="D714" s="79">
        <f t="shared" si="22"/>
        <v>-1.0728967790187111E-2</v>
      </c>
      <c r="F714" s="76">
        <v>44131</v>
      </c>
      <c r="G714" s="78">
        <v>41.41</v>
      </c>
      <c r="H714" s="79">
        <f t="shared" si="23"/>
        <v>-3.8489295164783185E-3</v>
      </c>
    </row>
    <row r="715" spans="2:8">
      <c r="B715" s="76">
        <v>44132</v>
      </c>
      <c r="C715" s="77">
        <v>30.51</v>
      </c>
      <c r="D715" s="79">
        <f t="shared" si="22"/>
        <v>-2.6794258373205735E-2</v>
      </c>
      <c r="F715" s="76">
        <v>44132</v>
      </c>
      <c r="G715" s="78">
        <v>39.990001999999997</v>
      </c>
      <c r="H715" s="79">
        <f t="shared" si="23"/>
        <v>-3.4291185703936244E-2</v>
      </c>
    </row>
    <row r="716" spans="2:8">
      <c r="B716" s="76">
        <v>44133</v>
      </c>
      <c r="C716" s="77">
        <v>30.01</v>
      </c>
      <c r="D716" s="79">
        <f t="shared" si="22"/>
        <v>-1.6388069485414616E-2</v>
      </c>
      <c r="F716" s="76">
        <v>44133</v>
      </c>
      <c r="G716" s="78">
        <v>40.439999</v>
      </c>
      <c r="H716" s="79">
        <f t="shared" si="23"/>
        <v>1.1252737621768644E-2</v>
      </c>
    </row>
    <row r="717" spans="2:8">
      <c r="B717" s="76">
        <v>44134</v>
      </c>
      <c r="C717" s="77">
        <v>30.299999</v>
      </c>
      <c r="D717" s="79">
        <f t="shared" si="22"/>
        <v>9.6634121959346259E-3</v>
      </c>
      <c r="F717" s="76">
        <v>44134</v>
      </c>
      <c r="G717" s="78">
        <v>39.959999000000003</v>
      </c>
      <c r="H717" s="79">
        <f t="shared" si="23"/>
        <v>-1.1869436495287669E-2</v>
      </c>
    </row>
    <row r="718" spans="2:8">
      <c r="B718" s="76">
        <v>44137</v>
      </c>
      <c r="C718" s="77">
        <v>32.669998</v>
      </c>
      <c r="D718" s="79">
        <f t="shared" si="22"/>
        <v>7.8217791360323141E-2</v>
      </c>
      <c r="F718" s="76">
        <v>44137</v>
      </c>
      <c r="G718" s="78">
        <v>40.470001000000003</v>
      </c>
      <c r="H718" s="79">
        <f t="shared" si="23"/>
        <v>1.2762813132202531E-2</v>
      </c>
    </row>
    <row r="719" spans="2:8">
      <c r="B719" s="76">
        <v>44138</v>
      </c>
      <c r="C719" s="77">
        <v>32.68</v>
      </c>
      <c r="D719" s="79">
        <f t="shared" si="22"/>
        <v>3.0615245216727798E-4</v>
      </c>
      <c r="F719" s="76">
        <v>44138</v>
      </c>
      <c r="G719" s="78">
        <v>41.189999</v>
      </c>
      <c r="H719" s="79">
        <f t="shared" si="23"/>
        <v>1.7790906404968873E-2</v>
      </c>
    </row>
    <row r="720" spans="2:8">
      <c r="B720" s="76">
        <v>44139</v>
      </c>
      <c r="C720" s="77">
        <v>34.099997999999999</v>
      </c>
      <c r="D720" s="79">
        <f t="shared" si="22"/>
        <v>4.3451591187270489E-2</v>
      </c>
      <c r="F720" s="76">
        <v>44139</v>
      </c>
      <c r="G720" s="78">
        <v>42.07</v>
      </c>
      <c r="H720" s="79">
        <f t="shared" si="23"/>
        <v>2.1364433633513806E-2</v>
      </c>
    </row>
    <row r="721" spans="2:8">
      <c r="B721" s="76">
        <v>44140</v>
      </c>
      <c r="C721" s="77">
        <v>34.650002000000001</v>
      </c>
      <c r="D721" s="79">
        <f t="shared" si="22"/>
        <v>1.612915050610857E-2</v>
      </c>
      <c r="F721" s="76">
        <v>44140</v>
      </c>
      <c r="G721" s="78">
        <v>42.93</v>
      </c>
      <c r="H721" s="79">
        <f t="shared" si="23"/>
        <v>2.0442120275730911E-2</v>
      </c>
    </row>
    <row r="722" spans="2:8">
      <c r="B722" s="76">
        <v>44141</v>
      </c>
      <c r="C722" s="77">
        <v>34.090000000000003</v>
      </c>
      <c r="D722" s="79">
        <f t="shared" si="22"/>
        <v>-1.6161672948821107E-2</v>
      </c>
      <c r="F722" s="76">
        <v>44141</v>
      </c>
      <c r="G722" s="78">
        <v>42.869999</v>
      </c>
      <c r="H722" s="79">
        <f t="shared" si="23"/>
        <v>-1.3976473328674529E-3</v>
      </c>
    </row>
    <row r="723" spans="2:8">
      <c r="B723" s="76">
        <v>44144</v>
      </c>
      <c r="C723" s="77">
        <v>32.209999000000003</v>
      </c>
      <c r="D723" s="79">
        <f t="shared" si="22"/>
        <v>-5.5148166617776467E-2</v>
      </c>
      <c r="F723" s="76">
        <v>44144</v>
      </c>
      <c r="G723" s="78">
        <v>43.5</v>
      </c>
      <c r="H723" s="79">
        <f t="shared" si="23"/>
        <v>1.4695614991733497E-2</v>
      </c>
    </row>
    <row r="724" spans="2:8">
      <c r="B724" s="76">
        <v>44145</v>
      </c>
      <c r="C724" s="77">
        <v>33.799999</v>
      </c>
      <c r="D724" s="79">
        <f t="shared" si="22"/>
        <v>4.9363553224574648E-2</v>
      </c>
      <c r="F724" s="76">
        <v>44145</v>
      </c>
      <c r="G724" s="78">
        <v>43.5</v>
      </c>
      <c r="H724" s="79">
        <f t="shared" si="23"/>
        <v>0</v>
      </c>
    </row>
    <row r="725" spans="2:8">
      <c r="B725" s="76">
        <v>44146</v>
      </c>
      <c r="C725" s="77">
        <v>34.380001</v>
      </c>
      <c r="D725" s="79">
        <f t="shared" si="22"/>
        <v>1.7159822992894182E-2</v>
      </c>
      <c r="F725" s="76">
        <v>44146</v>
      </c>
      <c r="G725" s="78">
        <v>43.779998999999997</v>
      </c>
      <c r="H725" s="79">
        <f t="shared" si="23"/>
        <v>6.436758620689576E-3</v>
      </c>
    </row>
    <row r="726" spans="2:8">
      <c r="B726" s="76">
        <v>44147</v>
      </c>
      <c r="C726" s="77">
        <v>33.830002</v>
      </c>
      <c r="D726" s="79">
        <f t="shared" si="22"/>
        <v>-1.5997643513739272E-2</v>
      </c>
      <c r="F726" s="76">
        <v>44147</v>
      </c>
      <c r="G726" s="78">
        <v>43.34</v>
      </c>
      <c r="H726" s="79">
        <f t="shared" si="23"/>
        <v>-1.005022864436322E-2</v>
      </c>
    </row>
    <row r="727" spans="2:8">
      <c r="B727" s="76">
        <v>44148</v>
      </c>
      <c r="C727" s="77">
        <v>34.840000000000003</v>
      </c>
      <c r="D727" s="79">
        <f t="shared" si="22"/>
        <v>2.98550972595273E-2</v>
      </c>
      <c r="F727" s="76">
        <v>44148</v>
      </c>
      <c r="G727" s="78">
        <v>43.959999000000003</v>
      </c>
      <c r="H727" s="79">
        <f t="shared" si="23"/>
        <v>1.430546838947854E-2</v>
      </c>
    </row>
    <row r="728" spans="2:8">
      <c r="B728" s="76">
        <v>44151</v>
      </c>
      <c r="C728" s="77">
        <v>35.860000999999997</v>
      </c>
      <c r="D728" s="79">
        <f t="shared" si="22"/>
        <v>2.9276722158438385E-2</v>
      </c>
      <c r="F728" s="76">
        <v>44151</v>
      </c>
      <c r="G728" s="78">
        <v>44.540000999999997</v>
      </c>
      <c r="H728" s="79">
        <f t="shared" si="23"/>
        <v>1.3193858352908362E-2</v>
      </c>
    </row>
    <row r="729" spans="2:8">
      <c r="B729" s="76">
        <v>44152</v>
      </c>
      <c r="C729" s="77">
        <v>35.810001</v>
      </c>
      <c r="D729" s="79">
        <f t="shared" si="22"/>
        <v>-1.3943111713799773E-3</v>
      </c>
      <c r="F729" s="76">
        <v>44152</v>
      </c>
      <c r="G729" s="78">
        <v>44.32</v>
      </c>
      <c r="H729" s="79">
        <f t="shared" si="23"/>
        <v>-4.9394026731161582E-3</v>
      </c>
    </row>
    <row r="730" spans="2:8">
      <c r="B730" s="76">
        <v>44153</v>
      </c>
      <c r="C730" s="77">
        <v>36.049999</v>
      </c>
      <c r="D730" s="79">
        <f t="shared" si="22"/>
        <v>6.7019824992465074E-3</v>
      </c>
      <c r="F730" s="76">
        <v>44153</v>
      </c>
      <c r="G730" s="78">
        <v>43.82</v>
      </c>
      <c r="H730" s="79">
        <f t="shared" si="23"/>
        <v>-1.128158844765343E-2</v>
      </c>
    </row>
    <row r="731" spans="2:8">
      <c r="B731" s="76">
        <v>44154</v>
      </c>
      <c r="C731" s="77">
        <v>36.740001999999997</v>
      </c>
      <c r="D731" s="79">
        <f t="shared" si="22"/>
        <v>1.9140166966440064E-2</v>
      </c>
      <c r="F731" s="76">
        <v>44154</v>
      </c>
      <c r="G731" s="78">
        <v>43.990001999999997</v>
      </c>
      <c r="H731" s="79">
        <f t="shared" si="23"/>
        <v>3.8795527156548757E-3</v>
      </c>
    </row>
    <row r="732" spans="2:8">
      <c r="B732" s="76">
        <v>44155</v>
      </c>
      <c r="C732" s="77">
        <v>35.759998000000003</v>
      </c>
      <c r="D732" s="79">
        <f t="shared" si="22"/>
        <v>-2.6674032298637164E-2</v>
      </c>
      <c r="F732" s="76">
        <v>44155</v>
      </c>
      <c r="G732" s="78">
        <v>43.73</v>
      </c>
      <c r="H732" s="79">
        <f t="shared" si="23"/>
        <v>-5.9104793857477E-3</v>
      </c>
    </row>
    <row r="733" spans="2:8">
      <c r="B733" s="76">
        <v>44158</v>
      </c>
      <c r="C733" s="77">
        <v>36.779998999999997</v>
      </c>
      <c r="D733" s="79">
        <f t="shared" si="22"/>
        <v>2.8523519492366679E-2</v>
      </c>
      <c r="F733" s="76">
        <v>44158</v>
      </c>
      <c r="G733" s="78">
        <v>44</v>
      </c>
      <c r="H733" s="79">
        <f t="shared" si="23"/>
        <v>6.1742510862109112E-3</v>
      </c>
    </row>
    <row r="734" spans="2:8">
      <c r="B734" s="76">
        <v>44159</v>
      </c>
      <c r="C734" s="77">
        <v>37.090000000000003</v>
      </c>
      <c r="D734" s="79">
        <f t="shared" si="22"/>
        <v>8.4285211644515509E-3</v>
      </c>
      <c r="F734" s="76">
        <v>44159</v>
      </c>
      <c r="G734" s="78">
        <v>44.720001000000003</v>
      </c>
      <c r="H734" s="79">
        <f t="shared" si="23"/>
        <v>1.6363659090909168E-2</v>
      </c>
    </row>
    <row r="735" spans="2:8">
      <c r="B735" s="76">
        <v>44160</v>
      </c>
      <c r="C735" s="77">
        <v>37.330002</v>
      </c>
      <c r="D735" s="79">
        <f t="shared" si="22"/>
        <v>6.4708007549203811E-3</v>
      </c>
      <c r="F735" s="76">
        <v>44160</v>
      </c>
      <c r="G735" s="78">
        <v>44.639999000000003</v>
      </c>
      <c r="H735" s="79">
        <f t="shared" si="23"/>
        <v>-1.7889534483686695E-3</v>
      </c>
    </row>
    <row r="736" spans="2:8">
      <c r="B736" s="76">
        <v>44162</v>
      </c>
      <c r="C736" s="77">
        <v>37.93</v>
      </c>
      <c r="D736" s="79">
        <f t="shared" si="22"/>
        <v>1.6072809211207632E-2</v>
      </c>
      <c r="F736" s="76">
        <v>44162</v>
      </c>
      <c r="G736" s="78">
        <v>44.779998999999997</v>
      </c>
      <c r="H736" s="79">
        <f t="shared" si="23"/>
        <v>3.1362007871011256E-3</v>
      </c>
    </row>
    <row r="737" spans="2:8">
      <c r="B737" s="76">
        <v>44165</v>
      </c>
      <c r="C737" s="77">
        <v>37.409999999999997</v>
      </c>
      <c r="D737" s="79">
        <f t="shared" si="22"/>
        <v>-1.3709464803585635E-2</v>
      </c>
      <c r="F737" s="76">
        <v>44165</v>
      </c>
      <c r="G737" s="78">
        <v>44.509998000000003</v>
      </c>
      <c r="H737" s="79">
        <f t="shared" si="23"/>
        <v>-6.0294999113330375E-3</v>
      </c>
    </row>
    <row r="738" spans="2:8">
      <c r="B738" s="76">
        <v>44166</v>
      </c>
      <c r="C738" s="77">
        <v>35.93</v>
      </c>
      <c r="D738" s="79">
        <f t="shared" si="22"/>
        <v>-3.9561614541566349E-2</v>
      </c>
      <c r="F738" s="76">
        <v>44166</v>
      </c>
      <c r="G738" s="78">
        <v>45.009998000000003</v>
      </c>
      <c r="H738" s="79">
        <f t="shared" si="23"/>
        <v>1.1233431194492527E-2</v>
      </c>
    </row>
    <row r="739" spans="2:8">
      <c r="B739" s="76">
        <v>44167</v>
      </c>
      <c r="C739" s="77">
        <v>35.229999999999997</v>
      </c>
      <c r="D739" s="79">
        <f t="shared" si="22"/>
        <v>-1.9482326746451513E-2</v>
      </c>
      <c r="F739" s="76">
        <v>44167</v>
      </c>
      <c r="G739" s="78">
        <v>45.099997999999999</v>
      </c>
      <c r="H739" s="79">
        <f t="shared" si="23"/>
        <v>1.9995557431483624E-3</v>
      </c>
    </row>
    <row r="740" spans="2:8">
      <c r="B740" s="76">
        <v>44168</v>
      </c>
      <c r="C740" s="77">
        <v>35.93</v>
      </c>
      <c r="D740" s="79">
        <f t="shared" si="22"/>
        <v>1.9869429463525486E-2</v>
      </c>
      <c r="F740" s="76">
        <v>44168</v>
      </c>
      <c r="G740" s="78">
        <v>45.130001</v>
      </c>
      <c r="H740" s="79">
        <f t="shared" si="23"/>
        <v>6.6525501841487153E-4</v>
      </c>
    </row>
    <row r="741" spans="2:8">
      <c r="B741" s="76">
        <v>44169</v>
      </c>
      <c r="C741" s="77">
        <v>35.299999</v>
      </c>
      <c r="D741" s="79">
        <f t="shared" si="22"/>
        <v>-1.7534121903701645E-2</v>
      </c>
      <c r="F741" s="76">
        <v>44169</v>
      </c>
      <c r="G741" s="78">
        <v>45.560001</v>
      </c>
      <c r="H741" s="79">
        <f t="shared" si="23"/>
        <v>9.5280299240409882E-3</v>
      </c>
    </row>
    <row r="742" spans="2:8">
      <c r="B742" s="76">
        <v>44172</v>
      </c>
      <c r="C742" s="77">
        <v>37</v>
      </c>
      <c r="D742" s="79">
        <f t="shared" si="22"/>
        <v>4.8158669919509074E-2</v>
      </c>
      <c r="F742" s="76">
        <v>44172</v>
      </c>
      <c r="G742" s="78">
        <v>45.470001000000003</v>
      </c>
      <c r="H742" s="79">
        <f t="shared" si="23"/>
        <v>-1.9754169891259728E-3</v>
      </c>
    </row>
    <row r="743" spans="2:8">
      <c r="B743" s="76">
        <v>44173</v>
      </c>
      <c r="C743" s="77">
        <v>35.299999</v>
      </c>
      <c r="D743" s="79">
        <f t="shared" si="22"/>
        <v>-4.5945972972972982E-2</v>
      </c>
      <c r="F743" s="76">
        <v>44173</v>
      </c>
      <c r="G743" s="78">
        <v>45.599997999999999</v>
      </c>
      <c r="H743" s="79">
        <f t="shared" si="23"/>
        <v>2.8589618900601282E-3</v>
      </c>
    </row>
    <row r="744" spans="2:8">
      <c r="B744" s="76">
        <v>44174</v>
      </c>
      <c r="C744" s="77">
        <v>35.479999999999997</v>
      </c>
      <c r="D744" s="79">
        <f t="shared" si="22"/>
        <v>5.0991786147075299E-3</v>
      </c>
      <c r="F744" s="76">
        <v>44174</v>
      </c>
      <c r="G744" s="78">
        <v>45.200001</v>
      </c>
      <c r="H744" s="79">
        <f t="shared" si="23"/>
        <v>-8.7718644198185938E-3</v>
      </c>
    </row>
    <row r="745" spans="2:8">
      <c r="B745" s="76">
        <v>44175</v>
      </c>
      <c r="C745" s="77">
        <v>36.029998999999997</v>
      </c>
      <c r="D745" s="79">
        <f t="shared" si="22"/>
        <v>1.5501662908680939E-2</v>
      </c>
      <c r="F745" s="76">
        <v>44175</v>
      </c>
      <c r="G745" s="78">
        <v>45.209999000000003</v>
      </c>
      <c r="H745" s="79">
        <f t="shared" si="23"/>
        <v>2.2119468537186671E-4</v>
      </c>
    </row>
    <row r="746" spans="2:8">
      <c r="B746" s="76">
        <v>44176</v>
      </c>
      <c r="C746" s="77">
        <v>35.770000000000003</v>
      </c>
      <c r="D746" s="79">
        <f t="shared" si="22"/>
        <v>-7.2161811605932448E-3</v>
      </c>
      <c r="F746" s="76">
        <v>44176</v>
      </c>
      <c r="G746" s="78">
        <v>45.119999</v>
      </c>
      <c r="H746" s="79">
        <f t="shared" si="23"/>
        <v>-1.9907100639396918E-3</v>
      </c>
    </row>
    <row r="747" spans="2:8">
      <c r="B747" s="76">
        <v>44179</v>
      </c>
      <c r="C747" s="77">
        <v>35.439999</v>
      </c>
      <c r="D747" s="79">
        <f t="shared" si="22"/>
        <v>-9.2256360078278674E-3</v>
      </c>
      <c r="F747" s="76">
        <v>44179</v>
      </c>
      <c r="G747" s="78">
        <v>44.919998</v>
      </c>
      <c r="H747" s="79">
        <f t="shared" si="23"/>
        <v>-4.4326463748370279E-3</v>
      </c>
    </row>
    <row r="748" spans="2:8">
      <c r="B748" s="76">
        <v>44180</v>
      </c>
      <c r="C748" s="77">
        <v>36.400002000000001</v>
      </c>
      <c r="D748" s="79">
        <f t="shared" si="22"/>
        <v>2.7088121531831884E-2</v>
      </c>
      <c r="F748" s="76">
        <v>44180</v>
      </c>
      <c r="G748" s="78">
        <v>45.59</v>
      </c>
      <c r="H748" s="79">
        <f t="shared" si="23"/>
        <v>1.4915450352424409E-2</v>
      </c>
    </row>
    <row r="749" spans="2:8">
      <c r="B749" s="76">
        <v>44181</v>
      </c>
      <c r="C749" s="77">
        <v>35.779998999999997</v>
      </c>
      <c r="D749" s="79">
        <f t="shared" si="22"/>
        <v>-1.7033048514667776E-2</v>
      </c>
      <c r="F749" s="76">
        <v>44181</v>
      </c>
      <c r="G749" s="78">
        <v>45.650002000000001</v>
      </c>
      <c r="H749" s="79">
        <f t="shared" si="23"/>
        <v>1.3161219565693621E-3</v>
      </c>
    </row>
    <row r="750" spans="2:8">
      <c r="B750" s="76">
        <v>44182</v>
      </c>
      <c r="C750" s="77">
        <v>38.169998</v>
      </c>
      <c r="D750" s="79">
        <f t="shared" si="22"/>
        <v>6.6797067266547536E-2</v>
      </c>
      <c r="F750" s="76">
        <v>44182</v>
      </c>
      <c r="G750" s="78">
        <v>45.900002000000001</v>
      </c>
      <c r="H750" s="79">
        <f t="shared" si="23"/>
        <v>5.4764510196516529E-3</v>
      </c>
    </row>
    <row r="751" spans="2:8">
      <c r="B751" s="76">
        <v>44183</v>
      </c>
      <c r="C751" s="77">
        <v>39.439999</v>
      </c>
      <c r="D751" s="79">
        <f t="shared" si="22"/>
        <v>3.3272231242977811E-2</v>
      </c>
      <c r="F751" s="76">
        <v>44183</v>
      </c>
      <c r="G751" s="78">
        <v>45.779998999999997</v>
      </c>
      <c r="H751" s="79">
        <f t="shared" si="23"/>
        <v>-2.6144443305253905E-3</v>
      </c>
    </row>
    <row r="752" spans="2:8">
      <c r="B752" s="76">
        <v>44186</v>
      </c>
      <c r="C752" s="77">
        <v>40.729999999999997</v>
      </c>
      <c r="D752" s="79">
        <f t="shared" si="22"/>
        <v>3.2707936934785332E-2</v>
      </c>
      <c r="F752" s="76">
        <v>44186</v>
      </c>
      <c r="G752" s="78">
        <v>45.380001</v>
      </c>
      <c r="H752" s="79">
        <f t="shared" si="23"/>
        <v>-8.7373964337569467E-3</v>
      </c>
    </row>
    <row r="753" spans="2:8">
      <c r="B753" s="76">
        <v>44187</v>
      </c>
      <c r="C753" s="77">
        <v>41.049999</v>
      </c>
      <c r="D753" s="79">
        <f t="shared" si="22"/>
        <v>7.8565921924871798E-3</v>
      </c>
      <c r="F753" s="76">
        <v>44187</v>
      </c>
      <c r="G753" s="78">
        <v>45.279998999999997</v>
      </c>
      <c r="H753" s="79">
        <f t="shared" si="23"/>
        <v>-2.2036579505585177E-3</v>
      </c>
    </row>
    <row r="754" spans="2:8">
      <c r="B754" s="76">
        <v>44188</v>
      </c>
      <c r="C754" s="77">
        <v>41.560001</v>
      </c>
      <c r="D754" s="79">
        <f t="shared" si="22"/>
        <v>1.2423922348938427E-2</v>
      </c>
      <c r="F754" s="76">
        <v>44188</v>
      </c>
      <c r="G754" s="78">
        <v>45.389999000000003</v>
      </c>
      <c r="H754" s="79">
        <f t="shared" si="23"/>
        <v>2.4293286755595234E-3</v>
      </c>
    </row>
    <row r="755" spans="2:8">
      <c r="B755" s="76">
        <v>44189</v>
      </c>
      <c r="C755" s="77">
        <v>42.27</v>
      </c>
      <c r="D755" s="79">
        <f t="shared" si="22"/>
        <v>1.7083709887302539E-2</v>
      </c>
      <c r="F755" s="76">
        <v>44189</v>
      </c>
      <c r="G755" s="78">
        <v>45.549999</v>
      </c>
      <c r="H755" s="79">
        <f t="shared" si="23"/>
        <v>3.525005585481431E-3</v>
      </c>
    </row>
    <row r="756" spans="2:8">
      <c r="B756" s="76">
        <v>44193</v>
      </c>
      <c r="C756" s="77">
        <v>41.919998</v>
      </c>
      <c r="D756" s="79">
        <f t="shared" si="22"/>
        <v>-8.2801514076177776E-3</v>
      </c>
      <c r="F756" s="76">
        <v>44193</v>
      </c>
      <c r="G756" s="78">
        <v>45.900002000000001</v>
      </c>
      <c r="H756" s="79">
        <f t="shared" si="23"/>
        <v>7.6839299162224121E-3</v>
      </c>
    </row>
    <row r="757" spans="2:8">
      <c r="B757" s="76">
        <v>44194</v>
      </c>
      <c r="C757" s="77">
        <v>41.91</v>
      </c>
      <c r="D757" s="79">
        <f t="shared" si="22"/>
        <v>-2.3850191977592796E-4</v>
      </c>
      <c r="F757" s="76">
        <v>44194</v>
      </c>
      <c r="G757" s="78">
        <v>45.77</v>
      </c>
      <c r="H757" s="79">
        <f t="shared" si="23"/>
        <v>-2.8322874582880739E-3</v>
      </c>
    </row>
    <row r="758" spans="2:8">
      <c r="B758" s="76">
        <v>44195</v>
      </c>
      <c r="C758" s="77">
        <v>42.279998999999997</v>
      </c>
      <c r="D758" s="79">
        <f t="shared" si="22"/>
        <v>8.8284180386542597E-3</v>
      </c>
      <c r="F758" s="76">
        <v>44195</v>
      </c>
      <c r="G758" s="78">
        <v>45.880001</v>
      </c>
      <c r="H758" s="79">
        <f t="shared" si="23"/>
        <v>2.4033428009612606E-3</v>
      </c>
    </row>
    <row r="759" spans="2:8">
      <c r="B759" s="76">
        <v>44196</v>
      </c>
      <c r="C759" s="77">
        <v>40.810001</v>
      </c>
      <c r="D759" s="79">
        <f t="shared" si="22"/>
        <v>-3.4768165439171293E-2</v>
      </c>
      <c r="F759" s="76">
        <v>44196</v>
      </c>
      <c r="G759" s="78">
        <v>46.09</v>
      </c>
      <c r="H759" s="79">
        <f t="shared" si="23"/>
        <v>4.577135907211584E-3</v>
      </c>
    </row>
    <row r="760" spans="2:8">
      <c r="B760" s="76">
        <v>44200</v>
      </c>
      <c r="C760" s="77">
        <v>39.830002</v>
      </c>
      <c r="D760" s="79">
        <f t="shared" si="22"/>
        <v>-2.4013697034704788E-2</v>
      </c>
      <c r="F760" s="76">
        <v>44200</v>
      </c>
      <c r="G760" s="78">
        <v>45.48</v>
      </c>
      <c r="H760" s="79">
        <f t="shared" si="23"/>
        <v>-1.3234975048817672E-2</v>
      </c>
    </row>
    <row r="761" spans="2:8">
      <c r="B761" s="76">
        <v>44201</v>
      </c>
      <c r="C761" s="77">
        <v>39.700001</v>
      </c>
      <c r="D761" s="79">
        <f t="shared" si="22"/>
        <v>-3.2638963964902647E-3</v>
      </c>
      <c r="F761" s="76">
        <v>44201</v>
      </c>
      <c r="G761" s="78">
        <v>45.790000999999997</v>
      </c>
      <c r="H761" s="79">
        <f t="shared" si="23"/>
        <v>6.8162049252418599E-3</v>
      </c>
    </row>
    <row r="762" spans="2:8">
      <c r="B762" s="76">
        <v>44202</v>
      </c>
      <c r="C762" s="77">
        <v>40.939999</v>
      </c>
      <c r="D762" s="79">
        <f t="shared" si="22"/>
        <v>3.1234205762362573E-2</v>
      </c>
      <c r="F762" s="76">
        <v>44202</v>
      </c>
      <c r="G762" s="78">
        <v>46.200001</v>
      </c>
      <c r="H762" s="79">
        <f t="shared" si="23"/>
        <v>8.9539198743412065E-3</v>
      </c>
    </row>
    <row r="763" spans="2:8">
      <c r="B763" s="76">
        <v>44203</v>
      </c>
      <c r="C763" s="77">
        <v>42.389999000000003</v>
      </c>
      <c r="D763" s="79">
        <f t="shared" si="22"/>
        <v>3.5417685281330928E-2</v>
      </c>
      <c r="F763" s="76">
        <v>44203</v>
      </c>
      <c r="G763" s="78">
        <v>46.869999</v>
      </c>
      <c r="H763" s="79">
        <f t="shared" si="23"/>
        <v>1.4502120898222485E-2</v>
      </c>
    </row>
    <row r="764" spans="2:8">
      <c r="B764" s="76">
        <v>44204</v>
      </c>
      <c r="C764" s="77">
        <v>40.169998</v>
      </c>
      <c r="D764" s="79">
        <f t="shared" si="22"/>
        <v>-5.2370867005682241E-2</v>
      </c>
      <c r="F764" s="76">
        <v>44204</v>
      </c>
      <c r="G764" s="78">
        <v>47.099997999999999</v>
      </c>
      <c r="H764" s="79">
        <f t="shared" si="23"/>
        <v>4.9071688693656558E-3</v>
      </c>
    </row>
    <row r="765" spans="2:8">
      <c r="B765" s="76">
        <v>44207</v>
      </c>
      <c r="C765" s="77">
        <v>39.630001</v>
      </c>
      <c r="D765" s="79">
        <f t="shared" si="22"/>
        <v>-1.3442793798496073E-2</v>
      </c>
      <c r="F765" s="76">
        <v>44207</v>
      </c>
      <c r="G765" s="78">
        <v>46.869999</v>
      </c>
      <c r="H765" s="79">
        <f t="shared" si="23"/>
        <v>-4.8832061521531149E-3</v>
      </c>
    </row>
    <row r="766" spans="2:8">
      <c r="B766" s="76">
        <v>44208</v>
      </c>
      <c r="C766" s="77">
        <v>39.5</v>
      </c>
      <c r="D766" s="79">
        <f t="shared" si="22"/>
        <v>-3.2803683249970151E-3</v>
      </c>
      <c r="F766" s="76">
        <v>44208</v>
      </c>
      <c r="G766" s="78">
        <v>46.91</v>
      </c>
      <c r="H766" s="79">
        <f t="shared" si="23"/>
        <v>8.5344571908347222E-4</v>
      </c>
    </row>
    <row r="767" spans="2:8">
      <c r="B767" s="76">
        <v>44209</v>
      </c>
      <c r="C767" s="77">
        <v>38.599997999999999</v>
      </c>
      <c r="D767" s="79">
        <f t="shared" si="22"/>
        <v>-2.2784860759493687E-2</v>
      </c>
      <c r="F767" s="76">
        <v>44209</v>
      </c>
      <c r="G767" s="78">
        <v>47</v>
      </c>
      <c r="H767" s="79">
        <f t="shared" si="23"/>
        <v>1.9185674696227547E-3</v>
      </c>
    </row>
    <row r="768" spans="2:8">
      <c r="B768" s="76">
        <v>44210</v>
      </c>
      <c r="C768" s="77">
        <v>40.25</v>
      </c>
      <c r="D768" s="79">
        <f t="shared" si="22"/>
        <v>4.2746168017936181E-2</v>
      </c>
      <c r="F768" s="76">
        <v>44210</v>
      </c>
      <c r="G768" s="78">
        <v>46.880001</v>
      </c>
      <c r="H768" s="79">
        <f t="shared" si="23"/>
        <v>-2.5531702127659568E-3</v>
      </c>
    </row>
    <row r="769" spans="2:8">
      <c r="B769" s="76">
        <v>44211</v>
      </c>
      <c r="C769" s="77">
        <v>40.869999</v>
      </c>
      <c r="D769" s="79">
        <f t="shared" si="22"/>
        <v>1.5403701863354036E-2</v>
      </c>
      <c r="F769" s="76">
        <v>44211</v>
      </c>
      <c r="G769" s="78">
        <v>46.529998999999997</v>
      </c>
      <c r="H769" s="79">
        <f t="shared" si="23"/>
        <v>-7.4659128100275311E-3</v>
      </c>
    </row>
    <row r="770" spans="2:8">
      <c r="B770" s="76">
        <v>44215</v>
      </c>
      <c r="C770" s="77">
        <v>40.400002000000001</v>
      </c>
      <c r="D770" s="79">
        <f t="shared" si="22"/>
        <v>-1.1499804538776703E-2</v>
      </c>
      <c r="F770" s="76">
        <v>44215</v>
      </c>
      <c r="G770" s="78">
        <v>46.869999</v>
      </c>
      <c r="H770" s="79">
        <f t="shared" si="23"/>
        <v>7.3071138471334039E-3</v>
      </c>
    </row>
    <row r="771" spans="2:8">
      <c r="B771" s="76">
        <v>44216</v>
      </c>
      <c r="C771" s="77">
        <v>41.470001000000003</v>
      </c>
      <c r="D771" s="79">
        <f t="shared" si="22"/>
        <v>2.6485122451231632E-2</v>
      </c>
      <c r="F771" s="76">
        <v>44216</v>
      </c>
      <c r="G771" s="78">
        <v>47.5</v>
      </c>
      <c r="H771" s="79">
        <f t="shared" si="23"/>
        <v>1.3441455375324417E-2</v>
      </c>
    </row>
    <row r="772" spans="2:8">
      <c r="B772" s="76">
        <v>44217</v>
      </c>
      <c r="C772" s="77">
        <v>42.599997999999999</v>
      </c>
      <c r="D772" s="79">
        <f t="shared" si="22"/>
        <v>2.7248540456991932E-2</v>
      </c>
      <c r="F772" s="76">
        <v>44217</v>
      </c>
      <c r="G772" s="78">
        <v>47.529998999999997</v>
      </c>
      <c r="H772" s="79">
        <f t="shared" si="23"/>
        <v>6.3155789473676963E-4</v>
      </c>
    </row>
    <row r="773" spans="2:8">
      <c r="B773" s="76">
        <v>44218</v>
      </c>
      <c r="C773" s="77">
        <v>42.880001</v>
      </c>
      <c r="D773" s="79">
        <f t="shared" si="22"/>
        <v>6.5728406841709403E-3</v>
      </c>
      <c r="F773" s="76">
        <v>44218</v>
      </c>
      <c r="G773" s="78">
        <v>47.419998</v>
      </c>
      <c r="H773" s="79">
        <f t="shared" si="23"/>
        <v>-2.3143488810087481E-3</v>
      </c>
    </row>
    <row r="774" spans="2:8">
      <c r="B774" s="76">
        <v>44221</v>
      </c>
      <c r="C774" s="77">
        <v>41.93</v>
      </c>
      <c r="D774" s="79">
        <f t="shared" ref="D774:D837" si="24">(C774-C773)/C773</f>
        <v>-2.2154873550492695E-2</v>
      </c>
      <c r="F774" s="76">
        <v>44221</v>
      </c>
      <c r="G774" s="78">
        <v>47.57</v>
      </c>
      <c r="H774" s="79">
        <f t="shared" ref="H774:H837" si="25">(G774-G773)/G773</f>
        <v>3.1632645787964949E-3</v>
      </c>
    </row>
    <row r="775" spans="2:8">
      <c r="B775" s="76">
        <v>44222</v>
      </c>
      <c r="C775" s="77">
        <v>40.360000999999997</v>
      </c>
      <c r="D775" s="79">
        <f t="shared" si="24"/>
        <v>-3.7443334128309157E-2</v>
      </c>
      <c r="F775" s="76">
        <v>44222</v>
      </c>
      <c r="G775" s="78">
        <v>47.459999000000003</v>
      </c>
      <c r="H775" s="79">
        <f t="shared" si="25"/>
        <v>-2.3124027748580387E-3</v>
      </c>
    </row>
    <row r="776" spans="2:8">
      <c r="B776" s="76">
        <v>44223</v>
      </c>
      <c r="C776" s="77">
        <v>37.939999</v>
      </c>
      <c r="D776" s="79">
        <f t="shared" si="24"/>
        <v>-5.996040485727433E-2</v>
      </c>
      <c r="F776" s="76">
        <v>44223</v>
      </c>
      <c r="G776" s="78">
        <v>46.360000999999997</v>
      </c>
      <c r="H776" s="79">
        <f t="shared" si="25"/>
        <v>-2.3177370905549458E-2</v>
      </c>
    </row>
    <row r="777" spans="2:8">
      <c r="B777" s="76">
        <v>44224</v>
      </c>
      <c r="C777" s="77">
        <v>38.889999000000003</v>
      </c>
      <c r="D777" s="79">
        <f t="shared" si="24"/>
        <v>2.5039536769624133E-2</v>
      </c>
      <c r="F777" s="76">
        <v>44224</v>
      </c>
      <c r="G777" s="78">
        <v>46.669998</v>
      </c>
      <c r="H777" s="79">
        <f t="shared" si="25"/>
        <v>6.6867341094320248E-3</v>
      </c>
    </row>
    <row r="778" spans="2:8">
      <c r="B778" s="76">
        <v>44225</v>
      </c>
      <c r="C778" s="77">
        <v>38.25</v>
      </c>
      <c r="D778" s="79">
        <f t="shared" si="24"/>
        <v>-1.6456647376103122E-2</v>
      </c>
      <c r="F778" s="76">
        <v>44225</v>
      </c>
      <c r="G778" s="78">
        <v>45.77</v>
      </c>
      <c r="H778" s="79">
        <f t="shared" si="25"/>
        <v>-1.9284294805412175E-2</v>
      </c>
    </row>
    <row r="779" spans="2:8">
      <c r="B779" s="76">
        <v>44228</v>
      </c>
      <c r="C779" s="77">
        <v>39.419998</v>
      </c>
      <c r="D779" s="79">
        <f t="shared" si="24"/>
        <v>3.058818300653594E-2</v>
      </c>
      <c r="F779" s="76">
        <v>44228</v>
      </c>
      <c r="G779" s="78">
        <v>46.560001</v>
      </c>
      <c r="H779" s="79">
        <f t="shared" si="25"/>
        <v>1.7260235962420725E-2</v>
      </c>
    </row>
    <row r="780" spans="2:8">
      <c r="B780" s="76">
        <v>44229</v>
      </c>
      <c r="C780" s="77">
        <v>39.959999000000003</v>
      </c>
      <c r="D780" s="79">
        <f t="shared" si="24"/>
        <v>1.3698656199830446E-2</v>
      </c>
      <c r="F780" s="76">
        <v>44229</v>
      </c>
      <c r="G780" s="78">
        <v>47.189999</v>
      </c>
      <c r="H780" s="79">
        <f t="shared" si="25"/>
        <v>1.3530884589113314E-2</v>
      </c>
    </row>
    <row r="781" spans="2:8">
      <c r="B781" s="76">
        <v>44230</v>
      </c>
      <c r="C781" s="77">
        <v>40.369999</v>
      </c>
      <c r="D781" s="79">
        <f t="shared" si="24"/>
        <v>1.026026051702345E-2</v>
      </c>
      <c r="F781" s="76">
        <v>44230</v>
      </c>
      <c r="G781" s="78">
        <v>47.25</v>
      </c>
      <c r="H781" s="79">
        <f t="shared" si="25"/>
        <v>1.2714770347844202E-3</v>
      </c>
    </row>
    <row r="782" spans="2:8">
      <c r="B782" s="76">
        <v>44231</v>
      </c>
      <c r="C782" s="77">
        <v>41.549999</v>
      </c>
      <c r="D782" s="79">
        <f t="shared" si="24"/>
        <v>2.9229626683914451E-2</v>
      </c>
      <c r="F782" s="76">
        <v>44231</v>
      </c>
      <c r="G782" s="78">
        <v>47.790000999999997</v>
      </c>
      <c r="H782" s="79">
        <f t="shared" si="25"/>
        <v>1.1428592592592521E-2</v>
      </c>
    </row>
    <row r="783" spans="2:8">
      <c r="B783" s="76">
        <v>44232</v>
      </c>
      <c r="C783" s="77">
        <v>42.59</v>
      </c>
      <c r="D783" s="79">
        <f t="shared" si="24"/>
        <v>2.5030108905658547E-2</v>
      </c>
      <c r="F783" s="76">
        <v>44232</v>
      </c>
      <c r="G783" s="78">
        <v>48.009998000000003</v>
      </c>
      <c r="H783" s="79">
        <f t="shared" si="25"/>
        <v>4.603410659062477E-3</v>
      </c>
    </row>
    <row r="784" spans="2:8">
      <c r="B784" s="76">
        <v>44235</v>
      </c>
      <c r="C784" s="77">
        <v>43.41</v>
      </c>
      <c r="D784" s="79">
        <f t="shared" si="24"/>
        <v>1.925334585583454E-2</v>
      </c>
      <c r="F784" s="76">
        <v>44235</v>
      </c>
      <c r="G784" s="78">
        <v>48.400002000000001</v>
      </c>
      <c r="H784" s="79">
        <f t="shared" si="25"/>
        <v>8.1233912986207069E-3</v>
      </c>
    </row>
    <row r="785" spans="2:8">
      <c r="B785" s="76">
        <v>44236</v>
      </c>
      <c r="C785" s="77">
        <v>43.490001999999997</v>
      </c>
      <c r="D785" s="79">
        <f t="shared" si="24"/>
        <v>1.8429394148813719E-3</v>
      </c>
      <c r="F785" s="76">
        <v>44236</v>
      </c>
      <c r="G785" s="78">
        <v>48.389999000000003</v>
      </c>
      <c r="H785" s="79">
        <f t="shared" si="25"/>
        <v>-2.0667354517872832E-4</v>
      </c>
    </row>
    <row r="786" spans="2:8">
      <c r="B786" s="76">
        <v>44237</v>
      </c>
      <c r="C786" s="77">
        <v>42.689999</v>
      </c>
      <c r="D786" s="79">
        <f t="shared" si="24"/>
        <v>-1.8395101476426621E-2</v>
      </c>
      <c r="F786" s="76">
        <v>44237</v>
      </c>
      <c r="G786" s="78">
        <v>48.34</v>
      </c>
      <c r="H786" s="79">
        <f t="shared" si="25"/>
        <v>-1.0332506929789289E-3</v>
      </c>
    </row>
    <row r="787" spans="2:8">
      <c r="B787" s="76">
        <v>44238</v>
      </c>
      <c r="C787" s="77">
        <v>43.419998</v>
      </c>
      <c r="D787" s="79">
        <f t="shared" si="24"/>
        <v>1.7100000400562188E-2</v>
      </c>
      <c r="F787" s="76">
        <v>44238</v>
      </c>
      <c r="G787" s="78">
        <v>48.470001000000003</v>
      </c>
      <c r="H787" s="79">
        <f t="shared" si="25"/>
        <v>2.6893049234588337E-3</v>
      </c>
    </row>
    <row r="788" spans="2:8">
      <c r="B788" s="76">
        <v>44239</v>
      </c>
      <c r="C788" s="77">
        <v>43.419998</v>
      </c>
      <c r="D788" s="79">
        <f t="shared" si="24"/>
        <v>0</v>
      </c>
      <c r="F788" s="76">
        <v>44239</v>
      </c>
      <c r="G788" s="78">
        <v>48.700001</v>
      </c>
      <c r="H788" s="79">
        <f t="shared" si="25"/>
        <v>4.7452031205857999E-3</v>
      </c>
    </row>
    <row r="789" spans="2:8">
      <c r="B789" s="76">
        <v>44243</v>
      </c>
      <c r="C789" s="77">
        <v>41.709999000000003</v>
      </c>
      <c r="D789" s="79">
        <f t="shared" si="24"/>
        <v>-3.9382751698882994E-2</v>
      </c>
      <c r="F789" s="76">
        <v>44243</v>
      </c>
      <c r="G789" s="78">
        <v>48.66</v>
      </c>
      <c r="H789" s="79">
        <f t="shared" si="25"/>
        <v>-8.2137575315457858E-4</v>
      </c>
    </row>
    <row r="790" spans="2:8">
      <c r="B790" s="76">
        <v>44244</v>
      </c>
      <c r="C790" s="77">
        <v>41.220001000000003</v>
      </c>
      <c r="D790" s="79">
        <f t="shared" si="24"/>
        <v>-1.174773463792219E-2</v>
      </c>
      <c r="F790" s="76">
        <v>44244</v>
      </c>
      <c r="G790" s="78">
        <v>48.650002000000001</v>
      </c>
      <c r="H790" s="79">
        <f t="shared" si="25"/>
        <v>-2.0546650226050051E-4</v>
      </c>
    </row>
    <row r="791" spans="2:8">
      <c r="B791" s="76">
        <v>44245</v>
      </c>
      <c r="C791" s="77">
        <v>40.049999</v>
      </c>
      <c r="D791" s="79">
        <f t="shared" si="24"/>
        <v>-2.838432730751277E-2</v>
      </c>
      <c r="F791" s="76">
        <v>44245</v>
      </c>
      <c r="G791" s="78">
        <v>48.369999</v>
      </c>
      <c r="H791" s="79">
        <f t="shared" si="25"/>
        <v>-5.7554571118003384E-3</v>
      </c>
    </row>
    <row r="792" spans="2:8">
      <c r="B792" s="76">
        <v>44246</v>
      </c>
      <c r="C792" s="77">
        <v>40.909999999999997</v>
      </c>
      <c r="D792" s="79">
        <f t="shared" si="24"/>
        <v>2.1473184056758576E-2</v>
      </c>
      <c r="F792" s="76">
        <v>44246</v>
      </c>
      <c r="G792" s="78">
        <v>48.349997999999999</v>
      </c>
      <c r="H792" s="79">
        <f t="shared" si="25"/>
        <v>-4.1350011191855929E-4</v>
      </c>
    </row>
    <row r="793" spans="2:8">
      <c r="B793" s="76">
        <v>44249</v>
      </c>
      <c r="C793" s="77">
        <v>41.380001</v>
      </c>
      <c r="D793" s="79">
        <f t="shared" si="24"/>
        <v>1.1488658029821644E-2</v>
      </c>
      <c r="F793" s="76">
        <v>44249</v>
      </c>
      <c r="G793" s="78">
        <v>48.049999</v>
      </c>
      <c r="H793" s="79">
        <f t="shared" si="25"/>
        <v>-6.204736554487545E-3</v>
      </c>
    </row>
    <row r="794" spans="2:8">
      <c r="B794" s="76">
        <v>44250</v>
      </c>
      <c r="C794" s="77">
        <v>41.73</v>
      </c>
      <c r="D794" s="79">
        <f t="shared" si="24"/>
        <v>8.4581679927943181E-3</v>
      </c>
      <c r="F794" s="76">
        <v>44250</v>
      </c>
      <c r="G794" s="78">
        <v>48.07</v>
      </c>
      <c r="H794" s="79">
        <f t="shared" si="25"/>
        <v>4.1625391084816886E-4</v>
      </c>
    </row>
    <row r="795" spans="2:8">
      <c r="B795" s="76">
        <v>44251</v>
      </c>
      <c r="C795" s="77">
        <v>42.400002000000001</v>
      </c>
      <c r="D795" s="79">
        <f t="shared" si="24"/>
        <v>1.6055643421998653E-2</v>
      </c>
      <c r="F795" s="76">
        <v>44251</v>
      </c>
      <c r="G795" s="78">
        <v>48.669998</v>
      </c>
      <c r="H795" s="79">
        <f t="shared" si="25"/>
        <v>1.2481755772831274E-2</v>
      </c>
    </row>
    <row r="796" spans="2:8">
      <c r="B796" s="76">
        <v>44252</v>
      </c>
      <c r="C796" s="77">
        <v>40.610000999999997</v>
      </c>
      <c r="D796" s="79">
        <f t="shared" si="24"/>
        <v>-4.2217002725613163E-2</v>
      </c>
      <c r="F796" s="76">
        <v>44252</v>
      </c>
      <c r="G796" s="78">
        <v>47.470001000000003</v>
      </c>
      <c r="H796" s="79">
        <f t="shared" si="25"/>
        <v>-2.4655784863603161E-2</v>
      </c>
    </row>
    <row r="797" spans="2:8">
      <c r="B797" s="76">
        <v>44253</v>
      </c>
      <c r="C797" s="77">
        <v>43.27</v>
      </c>
      <c r="D797" s="79">
        <f t="shared" si="24"/>
        <v>6.5501081864046407E-2</v>
      </c>
      <c r="F797" s="76">
        <v>44253</v>
      </c>
      <c r="G797" s="78">
        <v>47.25</v>
      </c>
      <c r="H797" s="79">
        <f t="shared" si="25"/>
        <v>-4.6345269720976714E-3</v>
      </c>
    </row>
    <row r="798" spans="2:8">
      <c r="B798" s="76">
        <v>44256</v>
      </c>
      <c r="C798" s="77">
        <v>44.84</v>
      </c>
      <c r="D798" s="79">
        <f t="shared" si="24"/>
        <v>3.6283799399121797E-2</v>
      </c>
      <c r="F798" s="76">
        <v>44256</v>
      </c>
      <c r="G798" s="78">
        <v>48.349997999999999</v>
      </c>
      <c r="H798" s="79">
        <f t="shared" si="25"/>
        <v>2.3280380952380938E-2</v>
      </c>
    </row>
    <row r="799" spans="2:8">
      <c r="B799" s="76">
        <v>44257</v>
      </c>
      <c r="C799" s="77">
        <v>43.709999000000003</v>
      </c>
      <c r="D799" s="79">
        <f t="shared" si="24"/>
        <v>-2.52007359500446E-2</v>
      </c>
      <c r="F799" s="76">
        <v>44257</v>
      </c>
      <c r="G799" s="78">
        <v>47.959999000000003</v>
      </c>
      <c r="H799" s="79">
        <f t="shared" si="25"/>
        <v>-8.0661637255909704E-3</v>
      </c>
    </row>
    <row r="800" spans="2:8">
      <c r="B800" s="76">
        <v>44258</v>
      </c>
      <c r="C800" s="77">
        <v>43.25</v>
      </c>
      <c r="D800" s="79">
        <f t="shared" si="24"/>
        <v>-1.0523884935344046E-2</v>
      </c>
      <c r="F800" s="76">
        <v>44258</v>
      </c>
      <c r="G800" s="78">
        <v>47.389999000000003</v>
      </c>
      <c r="H800" s="79">
        <f t="shared" si="25"/>
        <v>-1.1884904334547634E-2</v>
      </c>
    </row>
    <row r="801" spans="2:8">
      <c r="B801" s="76">
        <v>44259</v>
      </c>
      <c r="C801" s="77">
        <v>42.32</v>
      </c>
      <c r="D801" s="79">
        <f t="shared" si="24"/>
        <v>-2.1502890173410397E-2</v>
      </c>
      <c r="F801" s="76">
        <v>44259</v>
      </c>
      <c r="G801" s="78">
        <v>46.720001000000003</v>
      </c>
      <c r="H801" s="79">
        <f t="shared" si="25"/>
        <v>-1.4137961893605434E-2</v>
      </c>
    </row>
    <row r="802" spans="2:8">
      <c r="B802" s="76">
        <v>44260</v>
      </c>
      <c r="C802" s="77">
        <v>43.52</v>
      </c>
      <c r="D802" s="79">
        <f t="shared" si="24"/>
        <v>2.8355387523629556E-2</v>
      </c>
      <c r="F802" s="76">
        <v>44260</v>
      </c>
      <c r="G802" s="78">
        <v>47.66</v>
      </c>
      <c r="H802" s="79">
        <f t="shared" si="25"/>
        <v>2.0119841178941607E-2</v>
      </c>
    </row>
    <row r="803" spans="2:8">
      <c r="B803" s="76">
        <v>44263</v>
      </c>
      <c r="C803" s="77">
        <v>44.330002</v>
      </c>
      <c r="D803" s="79">
        <f t="shared" si="24"/>
        <v>1.8612178308823463E-2</v>
      </c>
      <c r="F803" s="76">
        <v>44263</v>
      </c>
      <c r="G803" s="78">
        <v>47.48</v>
      </c>
      <c r="H803" s="79">
        <f t="shared" si="25"/>
        <v>-3.7767519932857684E-3</v>
      </c>
    </row>
    <row r="804" spans="2:8">
      <c r="B804" s="76">
        <v>44264</v>
      </c>
      <c r="C804" s="77">
        <v>44.82</v>
      </c>
      <c r="D804" s="79">
        <f t="shared" si="24"/>
        <v>1.1053417051503853E-2</v>
      </c>
      <c r="F804" s="76">
        <v>44264</v>
      </c>
      <c r="G804" s="78">
        <v>48.110000999999997</v>
      </c>
      <c r="H804" s="79">
        <f t="shared" si="25"/>
        <v>1.3268765796124685E-2</v>
      </c>
    </row>
    <row r="805" spans="2:8">
      <c r="B805" s="76">
        <v>44265</v>
      </c>
      <c r="C805" s="77">
        <v>47.080002</v>
      </c>
      <c r="D805" s="79">
        <f t="shared" si="24"/>
        <v>5.0423962516733603E-2</v>
      </c>
      <c r="F805" s="76">
        <v>44265</v>
      </c>
      <c r="G805" s="78">
        <v>48.450001</v>
      </c>
      <c r="H805" s="79">
        <f t="shared" si="25"/>
        <v>7.0671376622919516E-3</v>
      </c>
    </row>
    <row r="806" spans="2:8">
      <c r="B806" s="76">
        <v>44266</v>
      </c>
      <c r="C806" s="77">
        <v>47.049999</v>
      </c>
      <c r="D806" s="79">
        <f t="shared" si="24"/>
        <v>-6.3727694828901382E-4</v>
      </c>
      <c r="F806" s="76">
        <v>44266</v>
      </c>
      <c r="G806" s="78">
        <v>48.98</v>
      </c>
      <c r="H806" s="79">
        <f t="shared" si="25"/>
        <v>1.0939091621484105E-2</v>
      </c>
    </row>
    <row r="807" spans="2:8">
      <c r="B807" s="76">
        <v>44267</v>
      </c>
      <c r="C807" s="77">
        <v>46.740001999999997</v>
      </c>
      <c r="D807" s="79">
        <f t="shared" si="24"/>
        <v>-6.5886717659654516E-3</v>
      </c>
      <c r="F807" s="76">
        <v>44267</v>
      </c>
      <c r="G807" s="78">
        <v>49.049999</v>
      </c>
      <c r="H807" s="79">
        <f t="shared" si="25"/>
        <v>1.4291343405472196E-3</v>
      </c>
    </row>
    <row r="808" spans="2:8">
      <c r="B808" s="76">
        <v>44270</v>
      </c>
      <c r="C808" s="77">
        <v>47.029998999999997</v>
      </c>
      <c r="D808" s="79">
        <f t="shared" si="24"/>
        <v>6.2044712792267238E-3</v>
      </c>
      <c r="F808" s="76">
        <v>44270</v>
      </c>
      <c r="G808" s="78">
        <v>49.400002000000001</v>
      </c>
      <c r="H808" s="79">
        <f t="shared" si="25"/>
        <v>7.1356372504717269E-3</v>
      </c>
    </row>
    <row r="809" spans="2:8">
      <c r="B809" s="76">
        <v>44271</v>
      </c>
      <c r="C809" s="77">
        <v>45.799999</v>
      </c>
      <c r="D809" s="79">
        <f t="shared" si="24"/>
        <v>-2.6153519586508963E-2</v>
      </c>
      <c r="F809" s="76">
        <v>44271</v>
      </c>
      <c r="G809" s="78">
        <v>49.279998999999997</v>
      </c>
      <c r="H809" s="79">
        <f t="shared" si="25"/>
        <v>-2.4292104279672717E-3</v>
      </c>
    </row>
    <row r="810" spans="2:8">
      <c r="B810" s="76">
        <v>44272</v>
      </c>
      <c r="C810" s="77">
        <v>47.5</v>
      </c>
      <c r="D810" s="79">
        <f t="shared" si="24"/>
        <v>3.7117926574627223E-2</v>
      </c>
      <c r="F810" s="76">
        <v>44272</v>
      </c>
      <c r="G810" s="78">
        <v>49.439999</v>
      </c>
      <c r="H810" s="79">
        <f t="shared" si="25"/>
        <v>3.2467533126371148E-3</v>
      </c>
    </row>
    <row r="811" spans="2:8">
      <c r="B811" s="76">
        <v>44273</v>
      </c>
      <c r="C811" s="77">
        <v>45.68</v>
      </c>
      <c r="D811" s="79">
        <f t="shared" si="24"/>
        <v>-3.831578947368422E-2</v>
      </c>
      <c r="F811" s="76">
        <v>44273</v>
      </c>
      <c r="G811" s="78">
        <v>48.700001</v>
      </c>
      <c r="H811" s="79">
        <f t="shared" si="25"/>
        <v>-1.4967597390121304E-2</v>
      </c>
    </row>
    <row r="812" spans="2:8">
      <c r="B812" s="76">
        <v>44274</v>
      </c>
      <c r="C812" s="77">
        <v>45.900002000000001</v>
      </c>
      <c r="D812" s="79">
        <f t="shared" si="24"/>
        <v>4.8161558669001956E-3</v>
      </c>
      <c r="F812" s="76">
        <v>44274</v>
      </c>
      <c r="G812" s="78">
        <v>48.630001</v>
      </c>
      <c r="H812" s="79">
        <f t="shared" si="25"/>
        <v>-1.4373716337295411E-3</v>
      </c>
    </row>
    <row r="813" spans="2:8">
      <c r="B813" s="76">
        <v>44277</v>
      </c>
      <c r="C813" s="77">
        <v>44.869999</v>
      </c>
      <c r="D813" s="79">
        <f t="shared" si="24"/>
        <v>-2.2440151527662256E-2</v>
      </c>
      <c r="F813" s="76">
        <v>44277</v>
      </c>
      <c r="G813" s="78">
        <v>48.740001999999997</v>
      </c>
      <c r="H813" s="79">
        <f t="shared" si="25"/>
        <v>2.2619987196791729E-3</v>
      </c>
    </row>
    <row r="814" spans="2:8">
      <c r="B814" s="76">
        <v>44278</v>
      </c>
      <c r="C814" s="77">
        <v>42.279998999999997</v>
      </c>
      <c r="D814" s="79">
        <f t="shared" si="24"/>
        <v>-5.7722310178790141E-2</v>
      </c>
      <c r="F814" s="76">
        <v>44278</v>
      </c>
      <c r="G814" s="78">
        <v>48.279998999999997</v>
      </c>
      <c r="H814" s="79">
        <f t="shared" si="25"/>
        <v>-9.4378945655357264E-3</v>
      </c>
    </row>
    <row r="815" spans="2:8">
      <c r="B815" s="76">
        <v>44279</v>
      </c>
      <c r="C815" s="77">
        <v>42.369999</v>
      </c>
      <c r="D815" s="79">
        <f t="shared" si="24"/>
        <v>2.1286660862977649E-3</v>
      </c>
      <c r="F815" s="76">
        <v>44279</v>
      </c>
      <c r="G815" s="78">
        <v>48.049999</v>
      </c>
      <c r="H815" s="79">
        <f t="shared" si="25"/>
        <v>-4.7638774806104886E-3</v>
      </c>
    </row>
    <row r="816" spans="2:8">
      <c r="B816" s="76">
        <v>44280</v>
      </c>
      <c r="C816" s="77">
        <v>44.049999</v>
      </c>
      <c r="D816" s="79">
        <f t="shared" si="24"/>
        <v>3.9650697183164905E-2</v>
      </c>
      <c r="F816" s="76">
        <v>44280</v>
      </c>
      <c r="G816" s="78">
        <v>48.380001</v>
      </c>
      <c r="H816" s="79">
        <f t="shared" si="25"/>
        <v>6.8678877599976712E-3</v>
      </c>
    </row>
    <row r="817" spans="2:8">
      <c r="B817" s="76">
        <v>44281</v>
      </c>
      <c r="C817" s="77">
        <v>46.619999</v>
      </c>
      <c r="D817" s="79">
        <f t="shared" si="24"/>
        <v>5.8342793605965809E-2</v>
      </c>
      <c r="F817" s="76">
        <v>44281</v>
      </c>
      <c r="G817" s="78">
        <v>49.189999</v>
      </c>
      <c r="H817" s="79">
        <f t="shared" si="25"/>
        <v>1.674241387469174E-2</v>
      </c>
    </row>
    <row r="818" spans="2:8">
      <c r="B818" s="76">
        <v>44284</v>
      </c>
      <c r="C818" s="77">
        <v>44.759998000000003</v>
      </c>
      <c r="D818" s="79">
        <f t="shared" si="24"/>
        <v>-3.9897062202854119E-2</v>
      </c>
      <c r="F818" s="76">
        <v>44284</v>
      </c>
      <c r="G818" s="78">
        <v>49.049999</v>
      </c>
      <c r="H818" s="79">
        <f t="shared" si="25"/>
        <v>-2.8461069901627883E-3</v>
      </c>
    </row>
    <row r="819" spans="2:8">
      <c r="B819" s="76">
        <v>44285</v>
      </c>
      <c r="C819" s="77">
        <v>45.91</v>
      </c>
      <c r="D819" s="79">
        <f t="shared" si="24"/>
        <v>2.5692628493861717E-2</v>
      </c>
      <c r="F819" s="76">
        <v>44285</v>
      </c>
      <c r="G819" s="78">
        <v>48.990001999999997</v>
      </c>
      <c r="H819" s="79">
        <f t="shared" si="25"/>
        <v>-1.2231804530720325E-3</v>
      </c>
    </row>
    <row r="820" spans="2:8">
      <c r="B820" s="76">
        <v>44286</v>
      </c>
      <c r="C820" s="77">
        <v>46.369999</v>
      </c>
      <c r="D820" s="79">
        <f t="shared" si="24"/>
        <v>1.001958179045967E-2</v>
      </c>
      <c r="F820" s="76">
        <v>44286</v>
      </c>
      <c r="G820" s="78">
        <v>49.189999</v>
      </c>
      <c r="H820" s="79">
        <f t="shared" si="25"/>
        <v>4.0824044056990104E-3</v>
      </c>
    </row>
    <row r="821" spans="2:8">
      <c r="B821" s="76">
        <v>44287</v>
      </c>
      <c r="C821" s="77">
        <v>47.369999</v>
      </c>
      <c r="D821" s="79">
        <f t="shared" si="24"/>
        <v>2.1565667922485831E-2</v>
      </c>
      <c r="F821" s="76">
        <v>44287</v>
      </c>
      <c r="G821" s="78">
        <v>49.77</v>
      </c>
      <c r="H821" s="79">
        <f t="shared" si="25"/>
        <v>1.1791035002867207E-2</v>
      </c>
    </row>
    <row r="822" spans="2:8">
      <c r="B822" s="76">
        <v>44291</v>
      </c>
      <c r="C822" s="77">
        <v>47.59</v>
      </c>
      <c r="D822" s="79">
        <f t="shared" si="24"/>
        <v>4.6443108432407494E-3</v>
      </c>
      <c r="F822" s="76">
        <v>44291</v>
      </c>
      <c r="G822" s="78">
        <v>50.43</v>
      </c>
      <c r="H822" s="79">
        <f t="shared" si="25"/>
        <v>1.3261000602772686E-2</v>
      </c>
    </row>
    <row r="823" spans="2:8">
      <c r="B823" s="76">
        <v>44292</v>
      </c>
      <c r="C823" s="77">
        <v>48.049999</v>
      </c>
      <c r="D823" s="79">
        <f t="shared" si="24"/>
        <v>9.6658751838620775E-3</v>
      </c>
      <c r="F823" s="76">
        <v>44292</v>
      </c>
      <c r="G823" s="78">
        <v>50.369999</v>
      </c>
      <c r="H823" s="79">
        <f t="shared" si="25"/>
        <v>-1.1897878247075105E-3</v>
      </c>
    </row>
    <row r="824" spans="2:8">
      <c r="B824" s="76">
        <v>44293</v>
      </c>
      <c r="C824" s="77">
        <v>46.950001</v>
      </c>
      <c r="D824" s="79">
        <f t="shared" si="24"/>
        <v>-2.2892778832315882E-2</v>
      </c>
      <c r="F824" s="76">
        <v>44293</v>
      </c>
      <c r="G824" s="78">
        <v>50.43</v>
      </c>
      <c r="H824" s="79">
        <f t="shared" si="25"/>
        <v>1.1912051060394054E-3</v>
      </c>
    </row>
    <row r="825" spans="2:8">
      <c r="B825" s="76">
        <v>44294</v>
      </c>
      <c r="C825" s="77">
        <v>47.34</v>
      </c>
      <c r="D825" s="79">
        <f t="shared" si="24"/>
        <v>8.3066877889950014E-3</v>
      </c>
      <c r="F825" s="76">
        <v>44294</v>
      </c>
      <c r="G825" s="78">
        <v>50.619999</v>
      </c>
      <c r="H825" s="79">
        <f t="shared" si="25"/>
        <v>3.7675788221296896E-3</v>
      </c>
    </row>
    <row r="826" spans="2:8">
      <c r="B826" s="76">
        <v>44295</v>
      </c>
      <c r="C826" s="77">
        <v>48.599997999999999</v>
      </c>
      <c r="D826" s="79">
        <f t="shared" si="24"/>
        <v>2.6615927334178197E-2</v>
      </c>
      <c r="F826" s="76">
        <v>44295</v>
      </c>
      <c r="G826" s="78">
        <v>50.970001000000003</v>
      </c>
      <c r="H826" s="79">
        <f t="shared" si="25"/>
        <v>6.9143027837674093E-3</v>
      </c>
    </row>
    <row r="827" spans="2:8">
      <c r="B827" s="76">
        <v>44298</v>
      </c>
      <c r="C827" s="77">
        <v>49.299999</v>
      </c>
      <c r="D827" s="79">
        <f t="shared" si="24"/>
        <v>1.4403313349930598E-2</v>
      </c>
      <c r="F827" s="76">
        <v>44298</v>
      </c>
      <c r="G827" s="78">
        <v>51.040000999999997</v>
      </c>
      <c r="H827" s="79">
        <f t="shared" si="25"/>
        <v>1.3733568496495257E-3</v>
      </c>
    </row>
    <row r="828" spans="2:8">
      <c r="B828" s="76">
        <v>44299</v>
      </c>
      <c r="C828" s="77">
        <v>48.32</v>
      </c>
      <c r="D828" s="79">
        <f t="shared" si="24"/>
        <v>-1.9878276265279424E-2</v>
      </c>
      <c r="F828" s="76">
        <v>44299</v>
      </c>
      <c r="G828" s="78">
        <v>51.130001</v>
      </c>
      <c r="H828" s="79">
        <f t="shared" si="25"/>
        <v>1.7633228494647447E-3</v>
      </c>
    </row>
    <row r="829" spans="2:8">
      <c r="B829" s="76">
        <v>44300</v>
      </c>
      <c r="C829" s="77">
        <v>47.82</v>
      </c>
      <c r="D829" s="79">
        <f t="shared" si="24"/>
        <v>-1.0347682119205299E-2</v>
      </c>
      <c r="F829" s="76">
        <v>44300</v>
      </c>
      <c r="G829" s="78">
        <v>50.990001999999997</v>
      </c>
      <c r="H829" s="79">
        <f t="shared" si="25"/>
        <v>-2.7380989098749107E-3</v>
      </c>
    </row>
    <row r="830" spans="2:8">
      <c r="B830" s="76">
        <v>44301</v>
      </c>
      <c r="C830" s="77">
        <v>48.5</v>
      </c>
      <c r="D830" s="79">
        <f t="shared" si="24"/>
        <v>1.4219991635299032E-2</v>
      </c>
      <c r="F830" s="76">
        <v>44301</v>
      </c>
      <c r="G830" s="78">
        <v>51.509998000000003</v>
      </c>
      <c r="H830" s="79">
        <f t="shared" si="25"/>
        <v>1.019799920776638E-2</v>
      </c>
    </row>
    <row r="831" spans="2:8">
      <c r="B831" s="76">
        <v>44302</v>
      </c>
      <c r="C831" s="77">
        <v>49.810001</v>
      </c>
      <c r="D831" s="79">
        <f t="shared" si="24"/>
        <v>2.7010329896907211E-2</v>
      </c>
      <c r="F831" s="76">
        <v>44302</v>
      </c>
      <c r="G831" s="78">
        <v>51.75</v>
      </c>
      <c r="H831" s="79">
        <f t="shared" si="25"/>
        <v>4.6593284666793609E-3</v>
      </c>
    </row>
    <row r="832" spans="2:8">
      <c r="B832" s="76">
        <v>44305</v>
      </c>
      <c r="C832" s="77">
        <v>49.810001</v>
      </c>
      <c r="D832" s="79">
        <f t="shared" si="24"/>
        <v>0</v>
      </c>
      <c r="F832" s="76">
        <v>44305</v>
      </c>
      <c r="G832" s="78">
        <v>51.439999</v>
      </c>
      <c r="H832" s="79">
        <f t="shared" si="25"/>
        <v>-5.9903574879227005E-3</v>
      </c>
    </row>
    <row r="833" spans="2:8">
      <c r="B833" s="76">
        <v>44306</v>
      </c>
      <c r="C833" s="77">
        <v>47.709999000000003</v>
      </c>
      <c r="D833" s="79">
        <f t="shared" si="24"/>
        <v>-4.2160248099573347E-2</v>
      </c>
      <c r="F833" s="76">
        <v>44306</v>
      </c>
      <c r="G833" s="78">
        <v>51.07</v>
      </c>
      <c r="H833" s="79">
        <f t="shared" si="25"/>
        <v>-7.1928267339196484E-3</v>
      </c>
    </row>
    <row r="834" spans="2:8">
      <c r="B834" s="76">
        <v>44307</v>
      </c>
      <c r="C834" s="77">
        <v>48.169998</v>
      </c>
      <c r="D834" s="79">
        <f t="shared" si="24"/>
        <v>9.6415638155849942E-3</v>
      </c>
      <c r="F834" s="76">
        <v>44307</v>
      </c>
      <c r="G834" s="78">
        <v>51.580002</v>
      </c>
      <c r="H834" s="79">
        <f t="shared" si="25"/>
        <v>9.9863324848247521E-3</v>
      </c>
    </row>
    <row r="835" spans="2:8">
      <c r="B835" s="76">
        <v>44308</v>
      </c>
      <c r="C835" s="77">
        <v>47.759998000000003</v>
      </c>
      <c r="D835" s="79">
        <f t="shared" si="24"/>
        <v>-8.5115220473954891E-3</v>
      </c>
      <c r="F835" s="76">
        <v>44308</v>
      </c>
      <c r="G835" s="78">
        <v>51.150002000000001</v>
      </c>
      <c r="H835" s="79">
        <f t="shared" si="25"/>
        <v>-8.3365642366590009E-3</v>
      </c>
    </row>
    <row r="836" spans="2:8">
      <c r="B836" s="76">
        <v>44309</v>
      </c>
      <c r="C836" s="77">
        <v>48.77</v>
      </c>
      <c r="D836" s="79">
        <f t="shared" si="24"/>
        <v>2.1147446446710488E-2</v>
      </c>
      <c r="F836" s="76">
        <v>44309</v>
      </c>
      <c r="G836" s="78">
        <v>51.709999000000003</v>
      </c>
      <c r="H836" s="79">
        <f t="shared" si="25"/>
        <v>1.0948132514247071E-2</v>
      </c>
    </row>
    <row r="837" spans="2:8">
      <c r="B837" s="76">
        <v>44312</v>
      </c>
      <c r="C837" s="77">
        <v>49.599997999999999</v>
      </c>
      <c r="D837" s="79">
        <f t="shared" si="24"/>
        <v>1.701861800287054E-2</v>
      </c>
      <c r="F837" s="76">
        <v>44312</v>
      </c>
      <c r="G837" s="78">
        <v>51.830002</v>
      </c>
      <c r="H837" s="79">
        <f t="shared" si="25"/>
        <v>2.3206923674470958E-3</v>
      </c>
    </row>
    <row r="838" spans="2:8">
      <c r="B838" s="76">
        <v>44313</v>
      </c>
      <c r="C838" s="77">
        <v>49.959999000000003</v>
      </c>
      <c r="D838" s="79">
        <f t="shared" ref="D838:D901" si="26">(C838-C837)/C837</f>
        <v>7.2580849700841525E-3</v>
      </c>
      <c r="F838" s="76">
        <v>44313</v>
      </c>
      <c r="G838" s="78">
        <v>51.830002</v>
      </c>
      <c r="H838" s="79">
        <f t="shared" ref="H838:H901" si="27">(G838-G837)/G837</f>
        <v>0</v>
      </c>
    </row>
    <row r="839" spans="2:8">
      <c r="B839" s="76">
        <v>44314</v>
      </c>
      <c r="C839" s="77">
        <v>49.049999</v>
      </c>
      <c r="D839" s="79">
        <f t="shared" si="26"/>
        <v>-1.8214572021909039E-2</v>
      </c>
      <c r="F839" s="76">
        <v>44314</v>
      </c>
      <c r="G839" s="78">
        <v>51.82</v>
      </c>
      <c r="H839" s="79">
        <f t="shared" si="27"/>
        <v>-1.9297703287759986E-4</v>
      </c>
    </row>
    <row r="840" spans="2:8">
      <c r="B840" s="76">
        <v>44315</v>
      </c>
      <c r="C840" s="77">
        <v>49.970001000000003</v>
      </c>
      <c r="D840" s="79">
        <f t="shared" si="26"/>
        <v>1.8756412207062506E-2</v>
      </c>
      <c r="F840" s="76">
        <v>44315</v>
      </c>
      <c r="G840" s="78">
        <v>52.110000999999997</v>
      </c>
      <c r="H840" s="79">
        <f t="shared" si="27"/>
        <v>5.5963141644152182E-3</v>
      </c>
    </row>
    <row r="841" spans="2:8">
      <c r="B841" s="76">
        <v>44316</v>
      </c>
      <c r="C841" s="77">
        <v>48.669998</v>
      </c>
      <c r="D841" s="79">
        <f t="shared" si="26"/>
        <v>-2.6015668881015305E-2</v>
      </c>
      <c r="F841" s="76">
        <v>44316</v>
      </c>
      <c r="G841" s="78">
        <v>51.66</v>
      </c>
      <c r="H841" s="79">
        <f t="shared" si="27"/>
        <v>-8.6355976082211228E-3</v>
      </c>
    </row>
    <row r="842" spans="2:8">
      <c r="B842" s="76">
        <v>44319</v>
      </c>
      <c r="C842" s="77">
        <v>49.299999</v>
      </c>
      <c r="D842" s="79">
        <f t="shared" si="26"/>
        <v>1.294433996072899E-2</v>
      </c>
      <c r="F842" s="76">
        <v>44319</v>
      </c>
      <c r="G842" s="78">
        <v>51.889999000000003</v>
      </c>
      <c r="H842" s="79">
        <f t="shared" si="27"/>
        <v>4.4521680216803427E-3</v>
      </c>
    </row>
    <row r="843" spans="2:8">
      <c r="B843" s="76">
        <v>44320</v>
      </c>
      <c r="C843" s="77">
        <v>48.810001</v>
      </c>
      <c r="D843" s="79">
        <f t="shared" si="26"/>
        <v>-9.9391077066756112E-3</v>
      </c>
      <c r="F843" s="76">
        <v>44320</v>
      </c>
      <c r="G843" s="78">
        <v>51.549999</v>
      </c>
      <c r="H843" s="79">
        <f t="shared" si="27"/>
        <v>-6.5523223463543213E-3</v>
      </c>
    </row>
    <row r="844" spans="2:8">
      <c r="B844" s="76">
        <v>44321</v>
      </c>
      <c r="C844" s="77">
        <v>49.060001</v>
      </c>
      <c r="D844" s="79">
        <f t="shared" si="26"/>
        <v>5.1219011448084177E-3</v>
      </c>
      <c r="F844" s="76">
        <v>44321</v>
      </c>
      <c r="G844" s="78">
        <v>51.580002</v>
      </c>
      <c r="H844" s="79">
        <f t="shared" si="27"/>
        <v>5.8201747006824713E-4</v>
      </c>
    </row>
    <row r="845" spans="2:8">
      <c r="B845" s="76">
        <v>44322</v>
      </c>
      <c r="C845" s="77">
        <v>52</v>
      </c>
      <c r="D845" s="79">
        <f t="shared" si="26"/>
        <v>5.992659886003672E-2</v>
      </c>
      <c r="F845" s="76">
        <v>44322</v>
      </c>
      <c r="G845" s="78">
        <v>51.959999000000003</v>
      </c>
      <c r="H845" s="79">
        <f t="shared" si="27"/>
        <v>7.3671381400877613E-3</v>
      </c>
    </row>
    <row r="846" spans="2:8">
      <c r="B846" s="76">
        <v>44323</v>
      </c>
      <c r="C846" s="77">
        <v>52.360000999999997</v>
      </c>
      <c r="D846" s="79">
        <f t="shared" si="26"/>
        <v>6.923096153846094E-3</v>
      </c>
      <c r="F846" s="76">
        <v>44323</v>
      </c>
      <c r="G846" s="78">
        <v>52.380001</v>
      </c>
      <c r="H846" s="79">
        <f t="shared" si="27"/>
        <v>8.0831795243105492E-3</v>
      </c>
    </row>
    <row r="847" spans="2:8">
      <c r="B847" s="76">
        <v>44326</v>
      </c>
      <c r="C847" s="77">
        <v>52.299999</v>
      </c>
      <c r="D847" s="79">
        <f t="shared" si="26"/>
        <v>-1.1459510858297583E-3</v>
      </c>
      <c r="F847" s="76">
        <v>44326</v>
      </c>
      <c r="G847" s="78">
        <v>51.82</v>
      </c>
      <c r="H847" s="79">
        <f t="shared" si="27"/>
        <v>-1.0691122361757873E-2</v>
      </c>
    </row>
    <row r="848" spans="2:8">
      <c r="B848" s="76">
        <v>44327</v>
      </c>
      <c r="C848" s="77">
        <v>50.400002000000001</v>
      </c>
      <c r="D848" s="79">
        <f t="shared" si="26"/>
        <v>-3.6328815226172359E-2</v>
      </c>
      <c r="F848" s="76">
        <v>44327</v>
      </c>
      <c r="G848" s="78">
        <v>51.400002000000001</v>
      </c>
      <c r="H848" s="79">
        <f t="shared" si="27"/>
        <v>-8.1049401775376232E-3</v>
      </c>
    </row>
    <row r="849" spans="2:8">
      <c r="B849" s="76">
        <v>44328</v>
      </c>
      <c r="C849" s="77">
        <v>46.639999000000003</v>
      </c>
      <c r="D849" s="79">
        <f t="shared" si="26"/>
        <v>-7.46032311665384E-2</v>
      </c>
      <c r="F849" s="76">
        <v>44328</v>
      </c>
      <c r="G849" s="78">
        <v>50.259998000000003</v>
      </c>
      <c r="H849" s="79">
        <f t="shared" si="27"/>
        <v>-2.2179065284861226E-2</v>
      </c>
    </row>
    <row r="850" spans="2:8">
      <c r="B850" s="76">
        <v>44329</v>
      </c>
      <c r="C850" s="77">
        <v>47.959999000000003</v>
      </c>
      <c r="D850" s="79">
        <f t="shared" si="26"/>
        <v>2.8301887399268602E-2</v>
      </c>
      <c r="F850" s="76">
        <v>44329</v>
      </c>
      <c r="G850" s="78">
        <v>50.889999000000003</v>
      </c>
      <c r="H850" s="79">
        <f t="shared" si="27"/>
        <v>1.2534839336841994E-2</v>
      </c>
    </row>
    <row r="851" spans="2:8">
      <c r="B851" s="76">
        <v>44330</v>
      </c>
      <c r="C851" s="77">
        <v>47.93</v>
      </c>
      <c r="D851" s="79">
        <f t="shared" si="26"/>
        <v>-6.2550043005638219E-4</v>
      </c>
      <c r="F851" s="76">
        <v>44330</v>
      </c>
      <c r="G851" s="78">
        <v>51.639999000000003</v>
      </c>
      <c r="H851" s="79">
        <f t="shared" si="27"/>
        <v>1.4737669772797597E-2</v>
      </c>
    </row>
    <row r="852" spans="2:8">
      <c r="B852" s="76">
        <v>44333</v>
      </c>
      <c r="C852" s="77">
        <v>47.950001</v>
      </c>
      <c r="D852" s="79">
        <f t="shared" si="26"/>
        <v>4.172960567494388E-4</v>
      </c>
      <c r="F852" s="76">
        <v>44333</v>
      </c>
      <c r="G852" s="78">
        <v>51.529998999999997</v>
      </c>
      <c r="H852" s="79">
        <f t="shared" si="27"/>
        <v>-2.1301317221173168E-3</v>
      </c>
    </row>
    <row r="853" spans="2:8">
      <c r="B853" s="76">
        <v>44334</v>
      </c>
      <c r="C853" s="77">
        <v>45.849997999999999</v>
      </c>
      <c r="D853" s="79">
        <f t="shared" si="26"/>
        <v>-4.3795682089766814E-2</v>
      </c>
      <c r="F853" s="76">
        <v>44334</v>
      </c>
      <c r="G853" s="78">
        <v>51.119999</v>
      </c>
      <c r="H853" s="79">
        <f t="shared" si="27"/>
        <v>-7.956530331001882E-3</v>
      </c>
    </row>
    <row r="854" spans="2:8">
      <c r="B854" s="76">
        <v>44335</v>
      </c>
      <c r="C854" s="77">
        <v>44.619999</v>
      </c>
      <c r="D854" s="79">
        <f t="shared" si="26"/>
        <v>-2.6826587865936207E-2</v>
      </c>
      <c r="F854" s="76">
        <v>44335</v>
      </c>
      <c r="G854" s="78">
        <v>50.93</v>
      </c>
      <c r="H854" s="79">
        <f t="shared" si="27"/>
        <v>-3.7167254248185776E-3</v>
      </c>
    </row>
    <row r="855" spans="2:8">
      <c r="B855" s="76">
        <v>44336</v>
      </c>
      <c r="C855" s="77">
        <v>44.779998999999997</v>
      </c>
      <c r="D855" s="79">
        <f t="shared" si="26"/>
        <v>3.5858360283691757E-3</v>
      </c>
      <c r="F855" s="76">
        <v>44336</v>
      </c>
      <c r="G855" s="78">
        <v>51.48</v>
      </c>
      <c r="H855" s="79">
        <f t="shared" si="27"/>
        <v>1.0799136069114415E-2</v>
      </c>
    </row>
    <row r="856" spans="2:8">
      <c r="B856" s="76">
        <v>44337</v>
      </c>
      <c r="C856" s="77">
        <v>43.959999000000003</v>
      </c>
      <c r="D856" s="79">
        <f t="shared" si="26"/>
        <v>-1.831174672424609E-2</v>
      </c>
      <c r="F856" s="76">
        <v>44337</v>
      </c>
      <c r="G856" s="78">
        <v>51.450001</v>
      </c>
      <c r="H856" s="79">
        <f t="shared" si="27"/>
        <v>-5.8273115773109084E-4</v>
      </c>
    </row>
    <row r="857" spans="2:8">
      <c r="B857" s="76">
        <v>44340</v>
      </c>
      <c r="C857" s="77">
        <v>44.48</v>
      </c>
      <c r="D857" s="79">
        <f t="shared" si="26"/>
        <v>1.1828958412851498E-2</v>
      </c>
      <c r="F857" s="76">
        <v>44340</v>
      </c>
      <c r="G857" s="78">
        <v>51.950001</v>
      </c>
      <c r="H857" s="79">
        <f t="shared" si="27"/>
        <v>9.7181727945933379E-3</v>
      </c>
    </row>
    <row r="858" spans="2:8">
      <c r="B858" s="76">
        <v>44341</v>
      </c>
      <c r="C858" s="77">
        <v>44.860000999999997</v>
      </c>
      <c r="D858" s="79">
        <f t="shared" si="26"/>
        <v>8.543187949640289E-3</v>
      </c>
      <c r="F858" s="76">
        <v>44341</v>
      </c>
      <c r="G858" s="78">
        <v>51.77</v>
      </c>
      <c r="H858" s="79">
        <f t="shared" si="27"/>
        <v>-3.4648892499539547E-3</v>
      </c>
    </row>
    <row r="859" spans="2:8">
      <c r="B859" s="76">
        <v>44342</v>
      </c>
      <c r="C859" s="77">
        <v>45.169998</v>
      </c>
      <c r="D859" s="79">
        <f t="shared" si="26"/>
        <v>6.9103208446206401E-3</v>
      </c>
      <c r="F859" s="76">
        <v>44342</v>
      </c>
      <c r="G859" s="78">
        <v>51.939999</v>
      </c>
      <c r="H859" s="79">
        <f t="shared" si="27"/>
        <v>3.2837357542978003E-3</v>
      </c>
    </row>
    <row r="860" spans="2:8">
      <c r="B860" s="76">
        <v>44343</v>
      </c>
      <c r="C860" s="77">
        <v>45.150002000000001</v>
      </c>
      <c r="D860" s="79">
        <f t="shared" si="26"/>
        <v>-4.4268321641278388E-4</v>
      </c>
      <c r="F860" s="76">
        <v>44343</v>
      </c>
      <c r="G860" s="78">
        <v>51.959999000000003</v>
      </c>
      <c r="H860" s="79">
        <f t="shared" si="27"/>
        <v>3.8505969166466726E-4</v>
      </c>
    </row>
    <row r="861" spans="2:8">
      <c r="B861" s="76">
        <v>44344</v>
      </c>
      <c r="C861" s="77">
        <v>44.540000999999997</v>
      </c>
      <c r="D861" s="79">
        <f t="shared" si="26"/>
        <v>-1.351054203718538E-2</v>
      </c>
      <c r="F861" s="76">
        <v>44344</v>
      </c>
      <c r="G861" s="78">
        <v>52.09</v>
      </c>
      <c r="H861" s="79">
        <f t="shared" si="27"/>
        <v>2.5019438510766718E-3</v>
      </c>
    </row>
    <row r="862" spans="2:8">
      <c r="B862" s="76">
        <v>44348</v>
      </c>
      <c r="C862" s="77">
        <v>44.470001000000003</v>
      </c>
      <c r="D862" s="79">
        <f t="shared" si="26"/>
        <v>-1.57162097953238E-3</v>
      </c>
      <c r="F862" s="76">
        <v>44348</v>
      </c>
      <c r="G862" s="78">
        <v>52.060001</v>
      </c>
      <c r="H862" s="79">
        <f t="shared" si="27"/>
        <v>-5.7590708389333191E-4</v>
      </c>
    </row>
    <row r="863" spans="2:8">
      <c r="B863" s="76">
        <v>44349</v>
      </c>
      <c r="C863" s="77">
        <v>42.880001</v>
      </c>
      <c r="D863" s="79">
        <f t="shared" si="26"/>
        <v>-3.5754440392299594E-2</v>
      </c>
      <c r="F863" s="76">
        <v>44349</v>
      </c>
      <c r="G863" s="78">
        <v>52.16</v>
      </c>
      <c r="H863" s="79">
        <f t="shared" si="27"/>
        <v>1.9208413000221963E-3</v>
      </c>
    </row>
    <row r="864" spans="2:8">
      <c r="B864" s="76">
        <v>44350</v>
      </c>
      <c r="C864" s="77">
        <v>42.25</v>
      </c>
      <c r="D864" s="79">
        <f t="shared" si="26"/>
        <v>-1.4692187157365038E-2</v>
      </c>
      <c r="F864" s="76">
        <v>44350</v>
      </c>
      <c r="G864" s="78">
        <v>51.93</v>
      </c>
      <c r="H864" s="79">
        <f t="shared" si="27"/>
        <v>-4.4095092024539284E-3</v>
      </c>
    </row>
    <row r="865" spans="2:8">
      <c r="B865" s="76">
        <v>44351</v>
      </c>
      <c r="C865" s="77">
        <v>42.700001</v>
      </c>
      <c r="D865" s="79">
        <f t="shared" si="26"/>
        <v>1.0650911242603558E-2</v>
      </c>
      <c r="F865" s="76">
        <v>44351</v>
      </c>
      <c r="G865" s="78">
        <v>52.389999000000003</v>
      </c>
      <c r="H865" s="79">
        <f t="shared" si="27"/>
        <v>8.8580589254766678E-3</v>
      </c>
    </row>
    <row r="866" spans="2:8">
      <c r="B866" s="76">
        <v>44354</v>
      </c>
      <c r="C866" s="77">
        <v>41.93</v>
      </c>
      <c r="D866" s="79">
        <f t="shared" si="26"/>
        <v>-1.8032809882135615E-2</v>
      </c>
      <c r="F866" s="76">
        <v>44354</v>
      </c>
      <c r="G866" s="78">
        <v>52.34</v>
      </c>
      <c r="H866" s="79">
        <f t="shared" si="27"/>
        <v>-9.5436153759040311E-4</v>
      </c>
    </row>
    <row r="867" spans="2:8">
      <c r="B867" s="76">
        <v>44355</v>
      </c>
      <c r="C867" s="77">
        <v>42.259998000000003</v>
      </c>
      <c r="D867" s="79">
        <f t="shared" si="26"/>
        <v>7.8702122585261949E-3</v>
      </c>
      <c r="F867" s="76">
        <v>44355</v>
      </c>
      <c r="G867" s="78">
        <v>52.369999</v>
      </c>
      <c r="H867" s="79">
        <f t="shared" si="27"/>
        <v>5.7315628582339611E-4</v>
      </c>
    </row>
    <row r="868" spans="2:8">
      <c r="B868" s="76">
        <v>44356</v>
      </c>
      <c r="C868" s="77">
        <v>43.759998000000003</v>
      </c>
      <c r="D868" s="79">
        <f t="shared" si="26"/>
        <v>3.5494559181001376E-2</v>
      </c>
      <c r="F868" s="76">
        <v>44356</v>
      </c>
      <c r="G868" s="78">
        <v>52.290000999999997</v>
      </c>
      <c r="H868" s="79">
        <f t="shared" si="27"/>
        <v>-1.5275539722657498E-3</v>
      </c>
    </row>
    <row r="869" spans="2:8">
      <c r="B869" s="76">
        <v>44357</v>
      </c>
      <c r="C869" s="77">
        <v>42.68</v>
      </c>
      <c r="D869" s="79">
        <f t="shared" si="26"/>
        <v>-2.4680028550275603E-2</v>
      </c>
      <c r="F869" s="76">
        <v>44357</v>
      </c>
      <c r="G869" s="78">
        <v>52.509998000000003</v>
      </c>
      <c r="H869" s="79">
        <f t="shared" si="27"/>
        <v>4.2072479593183876E-3</v>
      </c>
    </row>
    <row r="870" spans="2:8">
      <c r="B870" s="76">
        <v>44358</v>
      </c>
      <c r="C870" s="77">
        <v>43.860000999999997</v>
      </c>
      <c r="D870" s="79">
        <f t="shared" si="26"/>
        <v>2.7647633552014928E-2</v>
      </c>
      <c r="F870" s="76">
        <v>44358</v>
      </c>
      <c r="G870" s="78">
        <v>52.639999000000003</v>
      </c>
      <c r="H870" s="79">
        <f t="shared" si="27"/>
        <v>2.4757380489711699E-3</v>
      </c>
    </row>
    <row r="871" spans="2:8">
      <c r="B871" s="76">
        <v>44361</v>
      </c>
      <c r="C871" s="77">
        <v>42.610000999999997</v>
      </c>
      <c r="D871" s="79">
        <f t="shared" si="26"/>
        <v>-2.8499771352034398E-2</v>
      </c>
      <c r="F871" s="76">
        <v>44361</v>
      </c>
      <c r="G871" s="78">
        <v>52.68</v>
      </c>
      <c r="H871" s="79">
        <f t="shared" si="27"/>
        <v>7.5989743084905114E-4</v>
      </c>
    </row>
    <row r="872" spans="2:8">
      <c r="B872" s="76">
        <v>44362</v>
      </c>
      <c r="C872" s="77">
        <v>43.360000999999997</v>
      </c>
      <c r="D872" s="79">
        <f t="shared" si="26"/>
        <v>1.7601501581753075E-2</v>
      </c>
      <c r="F872" s="76">
        <v>44362</v>
      </c>
      <c r="G872" s="78">
        <v>52.599997999999999</v>
      </c>
      <c r="H872" s="79">
        <f t="shared" si="27"/>
        <v>-1.5186408504176225E-3</v>
      </c>
    </row>
    <row r="873" spans="2:8">
      <c r="B873" s="76">
        <v>44363</v>
      </c>
      <c r="C873" s="77">
        <v>43.330002</v>
      </c>
      <c r="D873" s="79">
        <f t="shared" si="26"/>
        <v>-6.9185884013232748E-4</v>
      </c>
      <c r="F873" s="76">
        <v>44363</v>
      </c>
      <c r="G873" s="78">
        <v>52.299999</v>
      </c>
      <c r="H873" s="79">
        <f t="shared" si="27"/>
        <v>-5.7034032586845288E-3</v>
      </c>
    </row>
    <row r="874" spans="2:8">
      <c r="B874" s="76">
        <v>44364</v>
      </c>
      <c r="C874" s="77">
        <v>43.029998999999997</v>
      </c>
      <c r="D874" s="79">
        <f t="shared" si="26"/>
        <v>-6.9236784249399252E-3</v>
      </c>
      <c r="F874" s="76">
        <v>44364</v>
      </c>
      <c r="G874" s="78">
        <v>52.25</v>
      </c>
      <c r="H874" s="79">
        <f t="shared" si="27"/>
        <v>-9.560038423710043E-4</v>
      </c>
    </row>
    <row r="875" spans="2:8">
      <c r="B875" s="76">
        <v>44365</v>
      </c>
      <c r="C875" s="77">
        <v>42.220001000000003</v>
      </c>
      <c r="D875" s="79">
        <f t="shared" si="26"/>
        <v>-1.8824030184151134E-2</v>
      </c>
      <c r="F875" s="76">
        <v>44365</v>
      </c>
      <c r="G875" s="78">
        <v>51.509998000000003</v>
      </c>
      <c r="H875" s="79">
        <f t="shared" si="27"/>
        <v>-1.4162717703349224E-2</v>
      </c>
    </row>
    <row r="876" spans="2:8">
      <c r="B876" s="76">
        <v>44368</v>
      </c>
      <c r="C876" s="77">
        <v>43.880001</v>
      </c>
      <c r="D876" s="79">
        <f t="shared" si="26"/>
        <v>3.9317857903413987E-2</v>
      </c>
      <c r="F876" s="76">
        <v>44368</v>
      </c>
      <c r="G876" s="78">
        <v>52.029998999999997</v>
      </c>
      <c r="H876" s="79">
        <f t="shared" si="27"/>
        <v>1.0095146965449183E-2</v>
      </c>
    </row>
    <row r="877" spans="2:8">
      <c r="B877" s="76">
        <v>44369</v>
      </c>
      <c r="C877" s="77">
        <v>44.43</v>
      </c>
      <c r="D877" s="79">
        <f t="shared" si="26"/>
        <v>1.2534161063487662E-2</v>
      </c>
      <c r="F877" s="76">
        <v>44369</v>
      </c>
      <c r="G877" s="78">
        <v>52.290000999999997</v>
      </c>
      <c r="H877" s="79">
        <f t="shared" si="27"/>
        <v>4.9971555832626496E-3</v>
      </c>
    </row>
    <row r="878" spans="2:8">
      <c r="B878" s="76">
        <v>44370</v>
      </c>
      <c r="C878" s="77">
        <v>44.150002000000001</v>
      </c>
      <c r="D878" s="79">
        <f t="shared" si="26"/>
        <v>-6.3020031510240618E-3</v>
      </c>
      <c r="F878" s="76">
        <v>44370</v>
      </c>
      <c r="G878" s="78">
        <v>52.310001</v>
      </c>
      <c r="H878" s="79">
        <f t="shared" si="27"/>
        <v>3.8248230287857765E-4</v>
      </c>
    </row>
    <row r="879" spans="2:8">
      <c r="B879" s="76">
        <v>44371</v>
      </c>
      <c r="C879" s="77">
        <v>44.84</v>
      </c>
      <c r="D879" s="79">
        <f t="shared" si="26"/>
        <v>1.5628493063261986E-2</v>
      </c>
      <c r="F879" s="76">
        <v>44371</v>
      </c>
      <c r="G879" s="78">
        <v>52.610000999999997</v>
      </c>
      <c r="H879" s="79">
        <f t="shared" si="27"/>
        <v>5.7350409914921846E-3</v>
      </c>
    </row>
    <row r="880" spans="2:8">
      <c r="B880" s="76">
        <v>44372</v>
      </c>
      <c r="C880" s="77">
        <v>45.209999000000003</v>
      </c>
      <c r="D880" s="79">
        <f t="shared" si="26"/>
        <v>8.2515388046387143E-3</v>
      </c>
      <c r="F880" s="76">
        <v>44372</v>
      </c>
      <c r="G880" s="78">
        <v>52.849997999999999</v>
      </c>
      <c r="H880" s="79">
        <f t="shared" si="27"/>
        <v>4.5618132567608674E-3</v>
      </c>
    </row>
    <row r="881" spans="2:8">
      <c r="B881" s="76">
        <v>44375</v>
      </c>
      <c r="C881" s="77">
        <v>45.240001999999997</v>
      </c>
      <c r="D881" s="79">
        <f t="shared" si="26"/>
        <v>6.6363637831519438E-4</v>
      </c>
      <c r="F881" s="76">
        <v>44375</v>
      </c>
      <c r="G881" s="78">
        <v>52.900002000000001</v>
      </c>
      <c r="H881" s="79">
        <f t="shared" si="27"/>
        <v>9.4614951546452791E-4</v>
      </c>
    </row>
    <row r="882" spans="2:8">
      <c r="B882" s="76">
        <v>44376</v>
      </c>
      <c r="C882" s="77">
        <v>42.57</v>
      </c>
      <c r="D882" s="79">
        <f t="shared" si="26"/>
        <v>-5.9018609238788204E-2</v>
      </c>
      <c r="F882" s="76">
        <v>44376</v>
      </c>
      <c r="G882" s="78">
        <v>52.91</v>
      </c>
      <c r="H882" s="79">
        <f t="shared" si="27"/>
        <v>1.8899810249526936E-4</v>
      </c>
    </row>
    <row r="883" spans="2:8">
      <c r="B883" s="76">
        <v>44377</v>
      </c>
      <c r="C883" s="77">
        <v>42.66</v>
      </c>
      <c r="D883" s="79">
        <f t="shared" si="26"/>
        <v>2.1141649048624926E-3</v>
      </c>
      <c r="F883" s="76">
        <v>44377</v>
      </c>
      <c r="G883" s="78">
        <v>52.970001000000003</v>
      </c>
      <c r="H883" s="79">
        <f t="shared" si="27"/>
        <v>1.1340200340201635E-3</v>
      </c>
    </row>
    <row r="884" spans="2:8">
      <c r="B884" s="76">
        <v>44378</v>
      </c>
      <c r="C884" s="77">
        <v>43.68</v>
      </c>
      <c r="D884" s="79">
        <f t="shared" si="26"/>
        <v>2.3909985935302466E-2</v>
      </c>
      <c r="F884" s="76">
        <v>44378</v>
      </c>
      <c r="G884" s="78">
        <v>53.279998999999997</v>
      </c>
      <c r="H884" s="79">
        <f t="shared" si="27"/>
        <v>5.8523313979169664E-3</v>
      </c>
    </row>
    <row r="885" spans="2:8">
      <c r="B885" s="76">
        <v>44379</v>
      </c>
      <c r="C885" s="77">
        <v>43.259998000000003</v>
      </c>
      <c r="D885" s="79">
        <f t="shared" si="26"/>
        <v>-9.6154304029303257E-3</v>
      </c>
      <c r="F885" s="76">
        <v>44379</v>
      </c>
      <c r="G885" s="78">
        <v>53.619999</v>
      </c>
      <c r="H885" s="79">
        <f t="shared" si="27"/>
        <v>6.38138150115212E-3</v>
      </c>
    </row>
    <row r="886" spans="2:8">
      <c r="B886" s="76">
        <v>44383</v>
      </c>
      <c r="C886" s="77">
        <v>42.169998</v>
      </c>
      <c r="D886" s="79">
        <f t="shared" si="26"/>
        <v>-2.5196487526421136E-2</v>
      </c>
      <c r="F886" s="76">
        <v>44383</v>
      </c>
      <c r="G886" s="78">
        <v>53.470001000000003</v>
      </c>
      <c r="H886" s="79">
        <f t="shared" si="27"/>
        <v>-2.7974263856289242E-3</v>
      </c>
    </row>
    <row r="887" spans="2:8">
      <c r="B887" s="76">
        <v>44384</v>
      </c>
      <c r="C887" s="77">
        <v>43.009998000000003</v>
      </c>
      <c r="D887" s="79">
        <f t="shared" si="26"/>
        <v>1.991937490725049E-2</v>
      </c>
      <c r="F887" s="76">
        <v>44384</v>
      </c>
      <c r="G887" s="78">
        <v>53.610000999999997</v>
      </c>
      <c r="H887" s="79">
        <f t="shared" si="27"/>
        <v>2.6182905812923672E-3</v>
      </c>
    </row>
    <row r="888" spans="2:8">
      <c r="B888" s="76">
        <v>44385</v>
      </c>
      <c r="C888" s="77">
        <v>41.75</v>
      </c>
      <c r="D888" s="79">
        <f t="shared" si="26"/>
        <v>-2.9295467532921136E-2</v>
      </c>
      <c r="F888" s="76">
        <v>44385</v>
      </c>
      <c r="G888" s="78">
        <v>53.189999</v>
      </c>
      <c r="H888" s="79">
        <f t="shared" si="27"/>
        <v>-7.834396421667604E-3</v>
      </c>
    </row>
    <row r="889" spans="2:8">
      <c r="B889" s="76">
        <v>44386</v>
      </c>
      <c r="C889" s="77">
        <v>42.77</v>
      </c>
      <c r="D889" s="79">
        <f t="shared" si="26"/>
        <v>2.4431137724550973E-2</v>
      </c>
      <c r="F889" s="76">
        <v>44386</v>
      </c>
      <c r="G889" s="78">
        <v>53.799999</v>
      </c>
      <c r="H889" s="79">
        <f t="shared" si="27"/>
        <v>1.146832132860163E-2</v>
      </c>
    </row>
    <row r="890" spans="2:8">
      <c r="B890" s="76">
        <v>44389</v>
      </c>
      <c r="C890" s="77">
        <v>43.75</v>
      </c>
      <c r="D890" s="79">
        <f t="shared" si="26"/>
        <v>2.2913256955810073E-2</v>
      </c>
      <c r="F890" s="76">
        <v>44389</v>
      </c>
      <c r="G890" s="78">
        <v>54</v>
      </c>
      <c r="H890" s="79">
        <f t="shared" si="27"/>
        <v>3.71749077541805E-3</v>
      </c>
    </row>
    <row r="891" spans="2:8">
      <c r="B891" s="76">
        <v>44390</v>
      </c>
      <c r="C891" s="77">
        <v>42.330002</v>
      </c>
      <c r="D891" s="79">
        <f t="shared" si="26"/>
        <v>-3.2457097142857133E-2</v>
      </c>
      <c r="F891" s="76">
        <v>44390</v>
      </c>
      <c r="G891" s="78">
        <v>53.759998000000003</v>
      </c>
      <c r="H891" s="79">
        <f t="shared" si="27"/>
        <v>-4.4444814814814252E-3</v>
      </c>
    </row>
    <row r="892" spans="2:8">
      <c r="B892" s="76">
        <v>44391</v>
      </c>
      <c r="C892" s="77">
        <v>41.950001</v>
      </c>
      <c r="D892" s="79">
        <f t="shared" si="26"/>
        <v>-8.9771080095862044E-3</v>
      </c>
      <c r="F892" s="76">
        <v>44391</v>
      </c>
      <c r="G892" s="78">
        <v>53.790000999999997</v>
      </c>
      <c r="H892" s="79">
        <f t="shared" si="27"/>
        <v>5.5809153861935716E-4</v>
      </c>
    </row>
    <row r="893" spans="2:8">
      <c r="B893" s="76">
        <v>44392</v>
      </c>
      <c r="C893" s="77">
        <v>41.84</v>
      </c>
      <c r="D893" s="79">
        <f t="shared" si="26"/>
        <v>-2.6221930245006885E-3</v>
      </c>
      <c r="F893" s="76">
        <v>44392</v>
      </c>
      <c r="G893" s="78">
        <v>53.610000999999997</v>
      </c>
      <c r="H893" s="79">
        <f t="shared" si="27"/>
        <v>-3.3463468424177892E-3</v>
      </c>
    </row>
    <row r="894" spans="2:8">
      <c r="B894" s="76">
        <v>44393</v>
      </c>
      <c r="C894" s="77">
        <v>40.98</v>
      </c>
      <c r="D894" s="79">
        <f t="shared" si="26"/>
        <v>-2.0554493307839542E-2</v>
      </c>
      <c r="F894" s="76">
        <v>44393</v>
      </c>
      <c r="G894" s="78">
        <v>53.18</v>
      </c>
      <c r="H894" s="79">
        <f t="shared" si="27"/>
        <v>-8.0209101283172379E-3</v>
      </c>
    </row>
    <row r="895" spans="2:8">
      <c r="B895" s="76">
        <v>44396</v>
      </c>
      <c r="C895" s="77">
        <v>40.470001000000003</v>
      </c>
      <c r="D895" s="79">
        <f t="shared" si="26"/>
        <v>-1.2445070766227268E-2</v>
      </c>
      <c r="F895" s="76">
        <v>44396</v>
      </c>
      <c r="G895" s="78">
        <v>52.32</v>
      </c>
      <c r="H895" s="79">
        <f t="shared" si="27"/>
        <v>-1.6171493042497168E-2</v>
      </c>
    </row>
    <row r="896" spans="2:8">
      <c r="B896" s="76">
        <v>44397</v>
      </c>
      <c r="C896" s="77">
        <v>41.990001999999997</v>
      </c>
      <c r="D896" s="79">
        <f t="shared" si="26"/>
        <v>3.7558709227607713E-2</v>
      </c>
      <c r="F896" s="76">
        <v>44397</v>
      </c>
      <c r="G896" s="78">
        <v>53.189999</v>
      </c>
      <c r="H896" s="79">
        <f t="shared" si="27"/>
        <v>1.662842125382263E-2</v>
      </c>
    </row>
    <row r="897" spans="2:8">
      <c r="B897" s="76">
        <v>44398</v>
      </c>
      <c r="C897" s="77">
        <v>44.939999</v>
      </c>
      <c r="D897" s="79">
        <f t="shared" si="26"/>
        <v>7.0254747784960894E-2</v>
      </c>
      <c r="F897" s="76">
        <v>44398</v>
      </c>
      <c r="G897" s="78">
        <v>53.650002000000001</v>
      </c>
      <c r="H897" s="79">
        <f t="shared" si="27"/>
        <v>8.6482987149520425E-3</v>
      </c>
    </row>
    <row r="898" spans="2:8">
      <c r="B898" s="76">
        <v>44399</v>
      </c>
      <c r="C898" s="77">
        <v>44.549999</v>
      </c>
      <c r="D898" s="79">
        <f t="shared" si="26"/>
        <v>-8.6782378433074864E-3</v>
      </c>
      <c r="F898" s="76">
        <v>44399</v>
      </c>
      <c r="G898" s="78">
        <v>53.700001</v>
      </c>
      <c r="H898" s="79">
        <f t="shared" si="27"/>
        <v>9.3194777513707608E-4</v>
      </c>
    </row>
    <row r="899" spans="2:8">
      <c r="B899" s="76">
        <v>44400</v>
      </c>
      <c r="C899" s="77">
        <v>45.360000999999997</v>
      </c>
      <c r="D899" s="79">
        <f t="shared" si="26"/>
        <v>1.8181863483318985E-2</v>
      </c>
      <c r="F899" s="76">
        <v>44400</v>
      </c>
      <c r="G899" s="78">
        <v>54.220001000000003</v>
      </c>
      <c r="H899" s="79">
        <f t="shared" si="27"/>
        <v>9.6834262628785264E-3</v>
      </c>
    </row>
    <row r="900" spans="2:8">
      <c r="B900" s="76">
        <v>44403</v>
      </c>
      <c r="C900" s="77">
        <v>44.009998000000003</v>
      </c>
      <c r="D900" s="79">
        <f t="shared" si="26"/>
        <v>-2.9761970243342675E-2</v>
      </c>
      <c r="F900" s="76">
        <v>44403</v>
      </c>
      <c r="G900" s="78">
        <v>54.360000999999997</v>
      </c>
      <c r="H900" s="79">
        <f t="shared" si="27"/>
        <v>2.582072988157884E-3</v>
      </c>
    </row>
    <row r="901" spans="2:8">
      <c r="B901" s="76">
        <v>44404</v>
      </c>
      <c r="C901" s="77">
        <v>44.200001</v>
      </c>
      <c r="D901" s="79">
        <f t="shared" si="26"/>
        <v>4.3172689987397237E-3</v>
      </c>
      <c r="F901" s="76">
        <v>44404</v>
      </c>
      <c r="G901" s="78">
        <v>54.110000999999997</v>
      </c>
      <c r="H901" s="79">
        <f t="shared" si="27"/>
        <v>-4.5989697461558182E-3</v>
      </c>
    </row>
    <row r="902" spans="2:8">
      <c r="B902" s="76">
        <v>44405</v>
      </c>
      <c r="C902" s="77">
        <v>44.119999</v>
      </c>
      <c r="D902" s="79">
        <f t="shared" ref="D902:D965" si="28">(C902-C901)/C901</f>
        <v>-1.8099999590497826E-3</v>
      </c>
      <c r="F902" s="76">
        <v>44405</v>
      </c>
      <c r="G902" s="78">
        <v>54.119999</v>
      </c>
      <c r="H902" s="79">
        <f t="shared" ref="H902:H965" si="29">(G902-G901)/G901</f>
        <v>1.8477175781244322E-4</v>
      </c>
    </row>
    <row r="903" spans="2:8">
      <c r="B903" s="76">
        <v>44406</v>
      </c>
      <c r="C903" s="77">
        <v>44.939999</v>
      </c>
      <c r="D903" s="79">
        <f t="shared" si="28"/>
        <v>1.858567585189656E-2</v>
      </c>
      <c r="F903" s="76">
        <v>44406</v>
      </c>
      <c r="G903" s="78">
        <v>54.380001</v>
      </c>
      <c r="H903" s="79">
        <f t="shared" si="29"/>
        <v>4.8041759941643766E-3</v>
      </c>
    </row>
    <row r="904" spans="2:8">
      <c r="B904" s="76">
        <v>44407</v>
      </c>
      <c r="C904" s="77">
        <v>44.5</v>
      </c>
      <c r="D904" s="79">
        <f t="shared" si="28"/>
        <v>-9.790810186711402E-3</v>
      </c>
      <c r="F904" s="76">
        <v>44407</v>
      </c>
      <c r="G904" s="78">
        <v>54.09</v>
      </c>
      <c r="H904" s="79">
        <f t="shared" si="29"/>
        <v>-5.3328612480164654E-3</v>
      </c>
    </row>
    <row r="905" spans="2:8">
      <c r="B905" s="76">
        <v>44410</v>
      </c>
      <c r="C905" s="77">
        <v>44.450001</v>
      </c>
      <c r="D905" s="79">
        <f t="shared" si="28"/>
        <v>-1.123573033707858E-3</v>
      </c>
      <c r="F905" s="76">
        <v>44410</v>
      </c>
      <c r="G905" s="78">
        <v>53.970001000000003</v>
      </c>
      <c r="H905" s="79">
        <f t="shared" si="29"/>
        <v>-2.2185061933814006E-3</v>
      </c>
    </row>
    <row r="906" spans="2:8">
      <c r="B906" s="76">
        <v>44411</v>
      </c>
      <c r="C906" s="77">
        <v>45.860000999999997</v>
      </c>
      <c r="D906" s="79">
        <f t="shared" si="28"/>
        <v>3.1721034157007028E-2</v>
      </c>
      <c r="F906" s="76">
        <v>44411</v>
      </c>
      <c r="G906" s="78">
        <v>54.439999</v>
      </c>
      <c r="H906" s="79">
        <f t="shared" si="29"/>
        <v>8.7085045634888308E-3</v>
      </c>
    </row>
    <row r="907" spans="2:8">
      <c r="B907" s="76">
        <v>44412</v>
      </c>
      <c r="C907" s="77">
        <v>45.950001</v>
      </c>
      <c r="D907" s="79">
        <f t="shared" si="28"/>
        <v>1.9624945058331644E-3</v>
      </c>
      <c r="F907" s="76">
        <v>44412</v>
      </c>
      <c r="G907" s="78">
        <v>54.099997999999999</v>
      </c>
      <c r="H907" s="79">
        <f t="shared" si="29"/>
        <v>-6.2454262719586181E-3</v>
      </c>
    </row>
    <row r="908" spans="2:8">
      <c r="B908" s="76">
        <v>44413</v>
      </c>
      <c r="C908" s="77">
        <v>47.330002</v>
      </c>
      <c r="D908" s="79">
        <f t="shared" si="28"/>
        <v>3.0032665287646022E-2</v>
      </c>
      <c r="F908" s="76">
        <v>44413</v>
      </c>
      <c r="G908" s="78">
        <v>54.470001000000003</v>
      </c>
      <c r="H908" s="79">
        <f t="shared" si="29"/>
        <v>6.8392423970145815E-3</v>
      </c>
    </row>
    <row r="909" spans="2:8">
      <c r="B909" s="76">
        <v>44414</v>
      </c>
      <c r="C909" s="77">
        <v>47.290000999999997</v>
      </c>
      <c r="D909" s="79">
        <f t="shared" si="28"/>
        <v>-8.4515103126350441E-4</v>
      </c>
      <c r="F909" s="76">
        <v>44414</v>
      </c>
      <c r="G909" s="78">
        <v>54.59</v>
      </c>
      <c r="H909" s="79">
        <f t="shared" si="29"/>
        <v>2.2030291499352084E-3</v>
      </c>
    </row>
    <row r="910" spans="2:8">
      <c r="B910" s="76">
        <v>44417</v>
      </c>
      <c r="C910" s="77">
        <v>47.5</v>
      </c>
      <c r="D910" s="79">
        <f t="shared" si="28"/>
        <v>4.4406638942554345E-3</v>
      </c>
      <c r="F910" s="76">
        <v>44417</v>
      </c>
      <c r="G910" s="78">
        <v>54.560001</v>
      </c>
      <c r="H910" s="79">
        <f t="shared" si="29"/>
        <v>-5.4953288148019161E-4</v>
      </c>
    </row>
    <row r="911" spans="2:8">
      <c r="B911" s="76">
        <v>44418</v>
      </c>
      <c r="C911" s="77">
        <v>48.790000999999997</v>
      </c>
      <c r="D911" s="79">
        <f t="shared" si="28"/>
        <v>2.7157915789473613E-2</v>
      </c>
      <c r="F911" s="76">
        <v>44418</v>
      </c>
      <c r="G911" s="78">
        <v>54.630001</v>
      </c>
      <c r="H911" s="79">
        <f t="shared" si="29"/>
        <v>1.282991178830812E-3</v>
      </c>
    </row>
    <row r="912" spans="2:8">
      <c r="B912" s="76">
        <v>44419</v>
      </c>
      <c r="C912" s="77">
        <v>50.240001999999997</v>
      </c>
      <c r="D912" s="79">
        <f t="shared" si="28"/>
        <v>2.9719224641950724E-2</v>
      </c>
      <c r="F912" s="76">
        <v>44419</v>
      </c>
      <c r="G912" s="78">
        <v>54.799999</v>
      </c>
      <c r="H912" s="79">
        <f t="shared" si="29"/>
        <v>3.1118066426540913E-3</v>
      </c>
    </row>
    <row r="913" spans="2:8">
      <c r="B913" s="76">
        <v>44420</v>
      </c>
      <c r="C913" s="77">
        <v>51.900002000000001</v>
      </c>
      <c r="D913" s="79">
        <f t="shared" si="28"/>
        <v>3.304139995854307E-2</v>
      </c>
      <c r="F913" s="76">
        <v>44420</v>
      </c>
      <c r="G913" s="78">
        <v>54.939999</v>
      </c>
      <c r="H913" s="79">
        <f t="shared" si="29"/>
        <v>2.5547445721668823E-3</v>
      </c>
    </row>
    <row r="914" spans="2:8">
      <c r="B914" s="76">
        <v>44421</v>
      </c>
      <c r="C914" s="77">
        <v>51.759998000000003</v>
      </c>
      <c r="D914" s="79">
        <f t="shared" si="28"/>
        <v>-2.6975721503825294E-3</v>
      </c>
      <c r="F914" s="76">
        <v>44421</v>
      </c>
      <c r="G914" s="78">
        <v>55</v>
      </c>
      <c r="H914" s="79">
        <f t="shared" si="29"/>
        <v>1.0921186947964769E-3</v>
      </c>
    </row>
    <row r="915" spans="2:8">
      <c r="B915" s="76">
        <v>44424</v>
      </c>
      <c r="C915" s="77">
        <v>51.580002</v>
      </c>
      <c r="D915" s="79">
        <f t="shared" si="28"/>
        <v>-3.4775117263335809E-3</v>
      </c>
      <c r="F915" s="76">
        <v>44424</v>
      </c>
      <c r="G915" s="78">
        <v>55.09</v>
      </c>
      <c r="H915" s="79">
        <f t="shared" si="29"/>
        <v>1.6363636363636983E-3</v>
      </c>
    </row>
    <row r="916" spans="2:8">
      <c r="B916" s="76">
        <v>44425</v>
      </c>
      <c r="C916" s="77">
        <v>49.700001</v>
      </c>
      <c r="D916" s="79">
        <f t="shared" si="28"/>
        <v>-3.6448253724379459E-2</v>
      </c>
      <c r="F916" s="76">
        <v>44425</v>
      </c>
      <c r="G916" s="78">
        <v>54.73</v>
      </c>
      <c r="H916" s="79">
        <f t="shared" si="29"/>
        <v>-6.534761299691532E-3</v>
      </c>
    </row>
    <row r="917" spans="2:8">
      <c r="B917" s="76">
        <v>44426</v>
      </c>
      <c r="C917" s="77">
        <v>49.220001000000003</v>
      </c>
      <c r="D917" s="79">
        <f t="shared" si="28"/>
        <v>-9.6579474917917376E-3</v>
      </c>
      <c r="F917" s="76">
        <v>44426</v>
      </c>
      <c r="G917" s="78">
        <v>54.150002000000001</v>
      </c>
      <c r="H917" s="79">
        <f t="shared" si="29"/>
        <v>-1.0597441987940732E-2</v>
      </c>
    </row>
    <row r="918" spans="2:8">
      <c r="B918" s="76">
        <v>44427</v>
      </c>
      <c r="C918" s="77">
        <v>48.43</v>
      </c>
      <c r="D918" s="79">
        <f t="shared" si="28"/>
        <v>-1.60504060127915E-2</v>
      </c>
      <c r="F918" s="76">
        <v>44427</v>
      </c>
      <c r="G918" s="78">
        <v>54.139999000000003</v>
      </c>
      <c r="H918" s="79">
        <f t="shared" si="29"/>
        <v>-1.8472760167206534E-4</v>
      </c>
    </row>
    <row r="919" spans="2:8">
      <c r="B919" s="76">
        <v>44428</v>
      </c>
      <c r="C919" s="77">
        <v>49.110000999999997</v>
      </c>
      <c r="D919" s="79">
        <f t="shared" si="28"/>
        <v>1.4040904398100294E-2</v>
      </c>
      <c r="F919" s="76">
        <v>44428</v>
      </c>
      <c r="G919" s="78">
        <v>54.610000999999997</v>
      </c>
      <c r="H919" s="79">
        <f t="shared" si="29"/>
        <v>8.6812339985450279E-3</v>
      </c>
    </row>
    <row r="920" spans="2:8">
      <c r="B920" s="76">
        <v>44431</v>
      </c>
      <c r="C920" s="77">
        <v>50.169998</v>
      </c>
      <c r="D920" s="79">
        <f t="shared" si="28"/>
        <v>2.1584137210667188E-2</v>
      </c>
      <c r="F920" s="76">
        <v>44431</v>
      </c>
      <c r="G920" s="78">
        <v>55.119999</v>
      </c>
      <c r="H920" s="79">
        <f t="shared" si="29"/>
        <v>9.3389121161159307E-3</v>
      </c>
    </row>
    <row r="921" spans="2:8">
      <c r="B921" s="76">
        <v>44432</v>
      </c>
      <c r="C921" s="77">
        <v>51.139999000000003</v>
      </c>
      <c r="D921" s="79">
        <f t="shared" si="28"/>
        <v>1.9334284207067409E-2</v>
      </c>
      <c r="F921" s="76">
        <v>44432</v>
      </c>
      <c r="G921" s="78">
        <v>55.240001999999997</v>
      </c>
      <c r="H921" s="79">
        <f t="shared" si="29"/>
        <v>2.1771226810072507E-3</v>
      </c>
    </row>
    <row r="922" spans="2:8">
      <c r="B922" s="76">
        <v>44433</v>
      </c>
      <c r="C922" s="77">
        <v>52.389999000000003</v>
      </c>
      <c r="D922" s="79">
        <f t="shared" si="28"/>
        <v>2.4442706774397863E-2</v>
      </c>
      <c r="F922" s="76">
        <v>44433</v>
      </c>
      <c r="G922" s="78">
        <v>55.369999</v>
      </c>
      <c r="H922" s="79">
        <f t="shared" si="29"/>
        <v>2.3533127315962629E-3</v>
      </c>
    </row>
    <row r="923" spans="2:8">
      <c r="B923" s="76">
        <v>44434</v>
      </c>
      <c r="C923" s="77">
        <v>51.75</v>
      </c>
      <c r="D923" s="79">
        <f t="shared" si="28"/>
        <v>-1.2216052914984845E-2</v>
      </c>
      <c r="F923" s="76">
        <v>44434</v>
      </c>
      <c r="G923" s="78">
        <v>55.009998000000003</v>
      </c>
      <c r="H923" s="79">
        <f t="shared" si="29"/>
        <v>-6.5017339082848258E-3</v>
      </c>
    </row>
    <row r="924" spans="2:8">
      <c r="B924" s="76">
        <v>44435</v>
      </c>
      <c r="C924" s="77">
        <v>53.25</v>
      </c>
      <c r="D924" s="79">
        <f t="shared" si="28"/>
        <v>2.8985507246376812E-2</v>
      </c>
      <c r="F924" s="76">
        <v>44435</v>
      </c>
      <c r="G924" s="78">
        <v>55.580002</v>
      </c>
      <c r="H924" s="79">
        <f t="shared" si="29"/>
        <v>1.0361825499430072E-2</v>
      </c>
    </row>
    <row r="925" spans="2:8">
      <c r="B925" s="76">
        <v>44438</v>
      </c>
      <c r="C925" s="77">
        <v>53.419998</v>
      </c>
      <c r="D925" s="79">
        <f t="shared" si="28"/>
        <v>3.1924507042253455E-3</v>
      </c>
      <c r="F925" s="76">
        <v>44438</v>
      </c>
      <c r="G925" s="78">
        <v>55.779998999999997</v>
      </c>
      <c r="H925" s="79">
        <f t="shared" si="29"/>
        <v>3.5983625909188741E-3</v>
      </c>
    </row>
    <row r="926" spans="2:8">
      <c r="B926" s="76">
        <v>44439</v>
      </c>
      <c r="C926" s="77">
        <v>53.290000999999997</v>
      </c>
      <c r="D926" s="79">
        <f t="shared" si="28"/>
        <v>-2.4334894209468716E-3</v>
      </c>
      <c r="F926" s="76">
        <v>44439</v>
      </c>
      <c r="G926" s="78">
        <v>55.68</v>
      </c>
      <c r="H926" s="79">
        <f t="shared" si="29"/>
        <v>-1.7927393652337077E-3</v>
      </c>
    </row>
    <row r="927" spans="2:8">
      <c r="B927" s="76">
        <v>44440</v>
      </c>
      <c r="C927" s="77">
        <v>53.59</v>
      </c>
      <c r="D927" s="79">
        <f t="shared" si="28"/>
        <v>5.6295551580118532E-3</v>
      </c>
      <c r="F927" s="76">
        <v>44440</v>
      </c>
      <c r="G927" s="78">
        <v>55.709999000000003</v>
      </c>
      <c r="H927" s="79">
        <f t="shared" si="29"/>
        <v>5.3877514367822667E-4</v>
      </c>
    </row>
    <row r="928" spans="2:8">
      <c r="B928" s="76">
        <v>44441</v>
      </c>
      <c r="C928" s="77">
        <v>54.610000999999997</v>
      </c>
      <c r="D928" s="79">
        <f t="shared" si="28"/>
        <v>1.9033420414256267E-2</v>
      </c>
      <c r="F928" s="76">
        <v>44441</v>
      </c>
      <c r="G928" s="78">
        <v>55.93</v>
      </c>
      <c r="H928" s="79">
        <f t="shared" si="29"/>
        <v>3.9490397406037707E-3</v>
      </c>
    </row>
    <row r="929" spans="2:8">
      <c r="B929" s="76">
        <v>44442</v>
      </c>
      <c r="C929" s="77">
        <v>54.490001999999997</v>
      </c>
      <c r="D929" s="79">
        <f t="shared" si="28"/>
        <v>-2.1973813917344548E-3</v>
      </c>
      <c r="F929" s="76">
        <v>44442</v>
      </c>
      <c r="G929" s="78">
        <v>55.830002</v>
      </c>
      <c r="H929" s="79">
        <f t="shared" si="29"/>
        <v>-1.787913463257632E-3</v>
      </c>
    </row>
    <row r="930" spans="2:8">
      <c r="B930" s="76">
        <v>44446</v>
      </c>
      <c r="C930" s="77">
        <v>54.330002</v>
      </c>
      <c r="D930" s="79">
        <f t="shared" si="28"/>
        <v>-2.9363184827924322E-3</v>
      </c>
      <c r="F930" s="76">
        <v>44446</v>
      </c>
      <c r="G930" s="78">
        <v>55.639999000000003</v>
      </c>
      <c r="H930" s="79">
        <f t="shared" si="29"/>
        <v>-3.4032418626815963E-3</v>
      </c>
    </row>
    <row r="931" spans="2:8">
      <c r="B931" s="76">
        <v>44447</v>
      </c>
      <c r="C931" s="77">
        <v>54.130001</v>
      </c>
      <c r="D931" s="79">
        <f t="shared" si="28"/>
        <v>-3.6812257065626523E-3</v>
      </c>
      <c r="F931" s="76">
        <v>44447</v>
      </c>
      <c r="G931" s="78">
        <v>55.560001</v>
      </c>
      <c r="H931" s="79">
        <f t="shared" si="29"/>
        <v>-1.4377786024044202E-3</v>
      </c>
    </row>
    <row r="932" spans="2:8">
      <c r="B932" s="76">
        <v>44448</v>
      </c>
      <c r="C932" s="77">
        <v>54.369999</v>
      </c>
      <c r="D932" s="79">
        <f t="shared" si="28"/>
        <v>4.4337335223769894E-3</v>
      </c>
      <c r="F932" s="76">
        <v>44448</v>
      </c>
      <c r="G932" s="78">
        <v>55.310001</v>
      </c>
      <c r="H932" s="79">
        <f t="shared" si="29"/>
        <v>-4.4996399478106561E-3</v>
      </c>
    </row>
    <row r="933" spans="2:8">
      <c r="B933" s="76">
        <v>44449</v>
      </c>
      <c r="C933" s="77">
        <v>53.470001000000003</v>
      </c>
      <c r="D933" s="79">
        <f t="shared" si="28"/>
        <v>-1.6553209794982645E-2</v>
      </c>
      <c r="F933" s="76">
        <v>44449</v>
      </c>
      <c r="G933" s="78">
        <v>54.869999</v>
      </c>
      <c r="H933" s="79">
        <f t="shared" si="29"/>
        <v>-7.9551978312204299E-3</v>
      </c>
    </row>
    <row r="934" spans="2:8">
      <c r="B934" s="76">
        <v>44452</v>
      </c>
      <c r="C934" s="77">
        <v>53.540000999999997</v>
      </c>
      <c r="D934" s="79">
        <f t="shared" si="28"/>
        <v>1.309145290646117E-3</v>
      </c>
      <c r="F934" s="76">
        <v>44452</v>
      </c>
      <c r="G934" s="78">
        <v>55</v>
      </c>
      <c r="H934" s="79">
        <f t="shared" si="29"/>
        <v>2.3692546449654581E-3</v>
      </c>
    </row>
    <row r="935" spans="2:8">
      <c r="B935" s="76">
        <v>44453</v>
      </c>
      <c r="C935" s="77">
        <v>52.310001</v>
      </c>
      <c r="D935" s="79">
        <f t="shared" si="28"/>
        <v>-2.2973477344537162E-2</v>
      </c>
      <c r="F935" s="76">
        <v>44453</v>
      </c>
      <c r="G935" s="78">
        <v>54.709999000000003</v>
      </c>
      <c r="H935" s="79">
        <f t="shared" si="29"/>
        <v>-5.2727454545453932E-3</v>
      </c>
    </row>
    <row r="936" spans="2:8">
      <c r="B936" s="76">
        <v>44454</v>
      </c>
      <c r="C936" s="77">
        <v>53.119999</v>
      </c>
      <c r="D936" s="79">
        <f t="shared" si="28"/>
        <v>1.548457244342244E-2</v>
      </c>
      <c r="F936" s="76">
        <v>44454</v>
      </c>
      <c r="G936" s="78">
        <v>55.189999</v>
      </c>
      <c r="H936" s="79">
        <f t="shared" si="29"/>
        <v>8.7735333352866058E-3</v>
      </c>
    </row>
    <row r="937" spans="2:8">
      <c r="B937" s="76">
        <v>44455</v>
      </c>
      <c r="C937" s="77">
        <v>52.799999</v>
      </c>
      <c r="D937" s="79">
        <f t="shared" si="28"/>
        <v>-6.0240964989476051E-3</v>
      </c>
      <c r="F937" s="76">
        <v>44455</v>
      </c>
      <c r="G937" s="78">
        <v>55.060001</v>
      </c>
      <c r="H937" s="79">
        <f t="shared" si="29"/>
        <v>-2.3554629888650749E-3</v>
      </c>
    </row>
    <row r="938" spans="2:8">
      <c r="B938" s="76">
        <v>44456</v>
      </c>
      <c r="C938" s="77">
        <v>52.82</v>
      </c>
      <c r="D938" s="79">
        <f t="shared" si="28"/>
        <v>3.7880682535620128E-4</v>
      </c>
      <c r="F938" s="76">
        <v>44456</v>
      </c>
      <c r="G938" s="78">
        <v>54.560001</v>
      </c>
      <c r="H938" s="79">
        <f t="shared" si="29"/>
        <v>-9.0810023777515014E-3</v>
      </c>
    </row>
    <row r="939" spans="2:8">
      <c r="B939" s="76">
        <v>44459</v>
      </c>
      <c r="C939" s="77">
        <v>52.02</v>
      </c>
      <c r="D939" s="79">
        <f t="shared" si="28"/>
        <v>-1.5145778114350571E-2</v>
      </c>
      <c r="F939" s="76">
        <v>44459</v>
      </c>
      <c r="G939" s="78">
        <v>53.43</v>
      </c>
      <c r="H939" s="79">
        <f t="shared" si="29"/>
        <v>-2.0711161643857008E-2</v>
      </c>
    </row>
    <row r="940" spans="2:8">
      <c r="B940" s="76">
        <v>44460</v>
      </c>
      <c r="C940" s="77">
        <v>52.400002000000001</v>
      </c>
      <c r="D940" s="79">
        <f t="shared" si="28"/>
        <v>7.3049211841598903E-3</v>
      </c>
      <c r="F940" s="76">
        <v>44460</v>
      </c>
      <c r="G940" s="78">
        <v>53.450001</v>
      </c>
      <c r="H940" s="79">
        <f t="shared" si="29"/>
        <v>3.743402582818754E-4</v>
      </c>
    </row>
    <row r="941" spans="2:8">
      <c r="B941" s="76">
        <v>44461</v>
      </c>
      <c r="C941" s="77">
        <v>53.959999000000003</v>
      </c>
      <c r="D941" s="79">
        <f t="shared" si="28"/>
        <v>2.977093397820868E-2</v>
      </c>
      <c r="F941" s="76">
        <v>44461</v>
      </c>
      <c r="G941" s="78">
        <v>53.98</v>
      </c>
      <c r="H941" s="79">
        <f t="shared" si="29"/>
        <v>9.9157902728569929E-3</v>
      </c>
    </row>
    <row r="942" spans="2:8">
      <c r="B942" s="76">
        <v>44462</v>
      </c>
      <c r="C942" s="77">
        <v>54.259998000000003</v>
      </c>
      <c r="D942" s="79">
        <f t="shared" si="28"/>
        <v>5.5596554032552826E-3</v>
      </c>
      <c r="F942" s="76">
        <v>44462</v>
      </c>
      <c r="G942" s="78">
        <v>54.610000999999997</v>
      </c>
      <c r="H942" s="79">
        <f t="shared" si="29"/>
        <v>1.1671007780659505E-2</v>
      </c>
    </row>
    <row r="943" spans="2:8">
      <c r="B943" s="76">
        <v>44463</v>
      </c>
      <c r="C943" s="77">
        <v>54.16</v>
      </c>
      <c r="D943" s="79">
        <f t="shared" si="28"/>
        <v>-1.8429414612216989E-3</v>
      </c>
      <c r="F943" s="76">
        <v>44463</v>
      </c>
      <c r="G943" s="78">
        <v>54.720001000000003</v>
      </c>
      <c r="H943" s="79">
        <f t="shared" si="29"/>
        <v>2.0142830614488828E-3</v>
      </c>
    </row>
    <row r="944" spans="2:8">
      <c r="B944" s="76">
        <v>44466</v>
      </c>
      <c r="C944" s="77">
        <v>54.900002000000001</v>
      </c>
      <c r="D944" s="79">
        <f t="shared" si="28"/>
        <v>1.366325701624823E-2</v>
      </c>
      <c r="F944" s="76">
        <v>44466</v>
      </c>
      <c r="G944" s="78">
        <v>54.650002000000001</v>
      </c>
      <c r="H944" s="79">
        <f t="shared" si="29"/>
        <v>-1.2792214678505362E-3</v>
      </c>
    </row>
    <row r="945" spans="2:8">
      <c r="B945" s="76">
        <v>44467</v>
      </c>
      <c r="C945" s="77">
        <v>53.939999</v>
      </c>
      <c r="D945" s="79">
        <f t="shared" si="28"/>
        <v>-1.7486392805595899E-2</v>
      </c>
      <c r="F945" s="76">
        <v>44467</v>
      </c>
      <c r="G945" s="78">
        <v>53.540000999999997</v>
      </c>
      <c r="H945" s="79">
        <f t="shared" si="29"/>
        <v>-2.0311088003253944E-2</v>
      </c>
    </row>
    <row r="946" spans="2:8">
      <c r="B946" s="76">
        <v>44468</v>
      </c>
      <c r="C946" s="77">
        <v>53.919998</v>
      </c>
      <c r="D946" s="79">
        <f t="shared" si="28"/>
        <v>-3.708008967519744E-4</v>
      </c>
      <c r="F946" s="76">
        <v>44468</v>
      </c>
      <c r="G946" s="78">
        <v>53.619999</v>
      </c>
      <c r="H946" s="79">
        <f t="shared" si="29"/>
        <v>1.4941725533401343E-3</v>
      </c>
    </row>
    <row r="947" spans="2:8">
      <c r="B947" s="76">
        <v>44469</v>
      </c>
      <c r="C947" s="77">
        <v>51.740001999999997</v>
      </c>
      <c r="D947" s="79">
        <f t="shared" si="28"/>
        <v>-4.043019437797462E-2</v>
      </c>
      <c r="F947" s="76">
        <v>44469</v>
      </c>
      <c r="G947" s="78">
        <v>52.990001999999997</v>
      </c>
      <c r="H947" s="79">
        <f t="shared" si="29"/>
        <v>-1.1749291528334475E-2</v>
      </c>
    </row>
    <row r="948" spans="2:8">
      <c r="B948" s="76">
        <v>44470</v>
      </c>
      <c r="C948" s="77">
        <v>52.959999000000003</v>
      </c>
      <c r="D948" s="79">
        <f t="shared" si="28"/>
        <v>2.35793767460621E-2</v>
      </c>
      <c r="F948" s="76">
        <v>44470</v>
      </c>
      <c r="G948" s="78">
        <v>53.630001</v>
      </c>
      <c r="H948" s="79">
        <f t="shared" si="29"/>
        <v>1.2077731191631266E-2</v>
      </c>
    </row>
    <row r="949" spans="2:8">
      <c r="B949" s="76">
        <v>44473</v>
      </c>
      <c r="C949" s="77">
        <v>52.580002</v>
      </c>
      <c r="D949" s="79">
        <f t="shared" si="28"/>
        <v>-7.1751700750599147E-3</v>
      </c>
      <c r="F949" s="76">
        <v>44473</v>
      </c>
      <c r="G949" s="78">
        <v>52.990001999999997</v>
      </c>
      <c r="H949" s="79">
        <f t="shared" si="29"/>
        <v>-1.1933600374163765E-2</v>
      </c>
    </row>
    <row r="950" spans="2:8">
      <c r="B950" s="76">
        <v>44474</v>
      </c>
      <c r="C950" s="77">
        <v>52.73</v>
      </c>
      <c r="D950" s="79">
        <f t="shared" si="28"/>
        <v>2.852757594037302E-3</v>
      </c>
      <c r="F950" s="76">
        <v>44474</v>
      </c>
      <c r="G950" s="78">
        <v>53.490001999999997</v>
      </c>
      <c r="H950" s="79">
        <f t="shared" si="29"/>
        <v>9.4357422368091248E-3</v>
      </c>
    </row>
    <row r="951" spans="2:8">
      <c r="B951" s="76">
        <v>44475</v>
      </c>
      <c r="C951" s="77">
        <v>53.139999000000003</v>
      </c>
      <c r="D951" s="79">
        <f t="shared" si="28"/>
        <v>7.7754409254694908E-3</v>
      </c>
      <c r="F951" s="76">
        <v>44475</v>
      </c>
      <c r="G951" s="78">
        <v>53.66</v>
      </c>
      <c r="H951" s="79">
        <f t="shared" si="29"/>
        <v>3.1781266338333594E-3</v>
      </c>
    </row>
    <row r="952" spans="2:8">
      <c r="B952" s="76">
        <v>44476</v>
      </c>
      <c r="C952" s="77">
        <v>54.75</v>
      </c>
      <c r="D952" s="79">
        <f t="shared" si="28"/>
        <v>3.0297347201681295E-2</v>
      </c>
      <c r="F952" s="76">
        <v>44476</v>
      </c>
      <c r="G952" s="78">
        <v>54.150002000000001</v>
      </c>
      <c r="H952" s="79">
        <f t="shared" si="29"/>
        <v>9.1316064107343289E-3</v>
      </c>
    </row>
    <row r="953" spans="2:8">
      <c r="B953" s="76">
        <v>44477</v>
      </c>
      <c r="C953" s="77">
        <v>55.09</v>
      </c>
      <c r="D953" s="79">
        <f t="shared" si="28"/>
        <v>6.2100456621005185E-3</v>
      </c>
      <c r="F953" s="76">
        <v>44477</v>
      </c>
      <c r="G953" s="78">
        <v>53.990001999999997</v>
      </c>
      <c r="H953" s="79">
        <f t="shared" si="29"/>
        <v>-2.954755200193782E-3</v>
      </c>
    </row>
    <row r="954" spans="2:8">
      <c r="B954" s="76">
        <v>44480</v>
      </c>
      <c r="C954" s="77">
        <v>55.200001</v>
      </c>
      <c r="D954" s="79">
        <f t="shared" si="28"/>
        <v>1.9967507714648194E-3</v>
      </c>
      <c r="F954" s="76">
        <v>44480</v>
      </c>
      <c r="G954" s="78">
        <v>53.669998</v>
      </c>
      <c r="H954" s="79">
        <f t="shared" si="29"/>
        <v>-5.9270973911058067E-3</v>
      </c>
    </row>
    <row r="955" spans="2:8">
      <c r="B955" s="76">
        <v>44481</v>
      </c>
      <c r="C955" s="77">
        <v>55.450001</v>
      </c>
      <c r="D955" s="79">
        <f t="shared" si="28"/>
        <v>4.5289854251995398E-3</v>
      </c>
      <c r="F955" s="76">
        <v>44481</v>
      </c>
      <c r="G955" s="78">
        <v>53.57</v>
      </c>
      <c r="H955" s="79">
        <f t="shared" si="29"/>
        <v>-1.8632011128451947E-3</v>
      </c>
    </row>
    <row r="956" spans="2:8">
      <c r="B956" s="76">
        <v>44482</v>
      </c>
      <c r="C956" s="77">
        <v>56.419998</v>
      </c>
      <c r="D956" s="79">
        <f t="shared" si="28"/>
        <v>1.7493182732314094E-2</v>
      </c>
      <c r="F956" s="76">
        <v>44482</v>
      </c>
      <c r="G956" s="78">
        <v>53.709999000000003</v>
      </c>
      <c r="H956" s="79">
        <f t="shared" si="29"/>
        <v>2.6133843569162421E-3</v>
      </c>
    </row>
    <row r="957" spans="2:8">
      <c r="B957" s="76">
        <v>44483</v>
      </c>
      <c r="C957" s="77">
        <v>56.810001</v>
      </c>
      <c r="D957" s="79">
        <f t="shared" si="28"/>
        <v>6.9124958139842561E-3</v>
      </c>
      <c r="F957" s="76">
        <v>44483</v>
      </c>
      <c r="G957" s="78">
        <v>54.610000999999997</v>
      </c>
      <c r="H957" s="79">
        <f t="shared" si="29"/>
        <v>1.6756693665177569E-2</v>
      </c>
    </row>
    <row r="958" spans="2:8">
      <c r="B958" s="76">
        <v>44484</v>
      </c>
      <c r="C958" s="77">
        <v>57.07</v>
      </c>
      <c r="D958" s="79">
        <f t="shared" si="28"/>
        <v>4.5766413558063577E-3</v>
      </c>
      <c r="F958" s="76">
        <v>44484</v>
      </c>
      <c r="G958" s="78">
        <v>54.990001999999997</v>
      </c>
      <c r="H958" s="79">
        <f t="shared" si="29"/>
        <v>6.9584507057599224E-3</v>
      </c>
    </row>
    <row r="959" spans="2:8">
      <c r="B959" s="76">
        <v>44487</v>
      </c>
      <c r="C959" s="77">
        <v>57.82</v>
      </c>
      <c r="D959" s="79">
        <f t="shared" si="28"/>
        <v>1.3141755738566673E-2</v>
      </c>
      <c r="F959" s="76">
        <v>44487</v>
      </c>
      <c r="G959" s="78">
        <v>55.200001</v>
      </c>
      <c r="H959" s="79">
        <f t="shared" si="29"/>
        <v>3.8188578352843739E-3</v>
      </c>
    </row>
    <row r="960" spans="2:8">
      <c r="B960" s="76">
        <v>44488</v>
      </c>
      <c r="C960" s="77">
        <v>57.52</v>
      </c>
      <c r="D960" s="79">
        <f t="shared" si="28"/>
        <v>-5.1885160843998124E-3</v>
      </c>
      <c r="F960" s="76">
        <v>44488</v>
      </c>
      <c r="G960" s="78">
        <v>55.57</v>
      </c>
      <c r="H960" s="79">
        <f t="shared" si="29"/>
        <v>6.702880313353617E-3</v>
      </c>
    </row>
    <row r="961" spans="2:8">
      <c r="B961" s="76">
        <v>44489</v>
      </c>
      <c r="C961" s="77">
        <v>58.290000999999997</v>
      </c>
      <c r="D961" s="79">
        <f t="shared" si="28"/>
        <v>1.3386665507649399E-2</v>
      </c>
      <c r="F961" s="76">
        <v>44489</v>
      </c>
      <c r="G961" s="78">
        <v>55.799999</v>
      </c>
      <c r="H961" s="79">
        <f t="shared" si="29"/>
        <v>4.1389058844700267E-3</v>
      </c>
    </row>
    <row r="962" spans="2:8">
      <c r="B962" s="76">
        <v>44490</v>
      </c>
      <c r="C962" s="77">
        <v>58.549999</v>
      </c>
      <c r="D962" s="79">
        <f t="shared" si="28"/>
        <v>4.4604219512709058E-3</v>
      </c>
      <c r="F962" s="76">
        <v>44490</v>
      </c>
      <c r="G962" s="78">
        <v>55.98</v>
      </c>
      <c r="H962" s="79">
        <f t="shared" si="29"/>
        <v>3.2258244305702799E-3</v>
      </c>
    </row>
    <row r="963" spans="2:8">
      <c r="B963" s="76">
        <v>44491</v>
      </c>
      <c r="C963" s="77">
        <v>58.889999000000003</v>
      </c>
      <c r="D963" s="79">
        <f t="shared" si="28"/>
        <v>5.8070026610931866E-3</v>
      </c>
      <c r="F963" s="76">
        <v>44491</v>
      </c>
      <c r="G963" s="78">
        <v>55.93</v>
      </c>
      <c r="H963" s="79">
        <f t="shared" si="29"/>
        <v>-8.9317613433363989E-4</v>
      </c>
    </row>
    <row r="964" spans="2:8">
      <c r="B964" s="76">
        <v>44494</v>
      </c>
      <c r="C964" s="77">
        <v>60.139999000000003</v>
      </c>
      <c r="D964" s="79">
        <f t="shared" si="28"/>
        <v>2.1226014963933008E-2</v>
      </c>
      <c r="F964" s="76">
        <v>44494</v>
      </c>
      <c r="G964" s="78">
        <v>56.200001</v>
      </c>
      <c r="H964" s="79">
        <f t="shared" si="29"/>
        <v>4.8274807795458717E-3</v>
      </c>
    </row>
    <row r="965" spans="2:8">
      <c r="B965" s="76">
        <v>44495</v>
      </c>
      <c r="C965" s="77">
        <v>58.759998000000003</v>
      </c>
      <c r="D965" s="79">
        <f t="shared" si="28"/>
        <v>-2.2946475273469824E-2</v>
      </c>
      <c r="F965" s="76">
        <v>44495</v>
      </c>
      <c r="G965" s="78">
        <v>56.25</v>
      </c>
      <c r="H965" s="79">
        <f t="shared" si="29"/>
        <v>8.8966190587789638E-4</v>
      </c>
    </row>
    <row r="966" spans="2:8">
      <c r="B966" s="76">
        <v>44496</v>
      </c>
      <c r="C966" s="77">
        <v>57.040000999999997</v>
      </c>
      <c r="D966" s="79">
        <f t="shared" ref="D966:D1029" si="30">(C966-C965)/C965</f>
        <v>-2.9271563283579525E-2</v>
      </c>
      <c r="F966" s="76">
        <v>44496</v>
      </c>
      <c r="G966" s="78">
        <v>55.900002000000001</v>
      </c>
      <c r="H966" s="79">
        <f t="shared" ref="H966:H1029" si="31">(G966-G965)/G965</f>
        <v>-6.2221866666666552E-3</v>
      </c>
    </row>
    <row r="967" spans="2:8">
      <c r="B967" s="76">
        <v>44497</v>
      </c>
      <c r="C967" s="77">
        <v>58.240001999999997</v>
      </c>
      <c r="D967" s="79">
        <f t="shared" si="30"/>
        <v>2.1037885325422775E-2</v>
      </c>
      <c r="F967" s="76">
        <v>44497</v>
      </c>
      <c r="G967" s="78">
        <v>56.490001999999997</v>
      </c>
      <c r="H967" s="79">
        <f t="shared" si="31"/>
        <v>1.0554561339729403E-2</v>
      </c>
    </row>
    <row r="968" spans="2:8">
      <c r="B968" s="76">
        <v>44498</v>
      </c>
      <c r="C968" s="77">
        <v>58.27</v>
      </c>
      <c r="D968" s="79">
        <f t="shared" si="30"/>
        <v>5.1507553176262236E-4</v>
      </c>
      <c r="F968" s="76">
        <v>44498</v>
      </c>
      <c r="G968" s="78">
        <v>56.580002</v>
      </c>
      <c r="H968" s="79">
        <f t="shared" si="31"/>
        <v>1.5932022802902966E-3</v>
      </c>
    </row>
    <row r="969" spans="2:8">
      <c r="B969" s="76">
        <v>44501</v>
      </c>
      <c r="C969" s="77">
        <v>58.540000999999997</v>
      </c>
      <c r="D969" s="79">
        <f t="shared" si="30"/>
        <v>4.6336193581601763E-3</v>
      </c>
      <c r="F969" s="76">
        <v>44501</v>
      </c>
      <c r="G969" s="78">
        <v>56.77</v>
      </c>
      <c r="H969" s="79">
        <f t="shared" si="31"/>
        <v>3.3580415921512828E-3</v>
      </c>
    </row>
    <row r="970" spans="2:8">
      <c r="B970" s="76">
        <v>44502</v>
      </c>
      <c r="C970" s="77">
        <v>58.200001</v>
      </c>
      <c r="D970" s="79">
        <f t="shared" si="30"/>
        <v>-5.8079944344380232E-3</v>
      </c>
      <c r="F970" s="76">
        <v>44502</v>
      </c>
      <c r="G970" s="78">
        <v>56.98</v>
      </c>
      <c r="H970" s="79">
        <f t="shared" si="31"/>
        <v>3.6991368680640078E-3</v>
      </c>
    </row>
    <row r="971" spans="2:8">
      <c r="B971" s="76">
        <v>44503</v>
      </c>
      <c r="C971" s="77">
        <v>60.259998000000003</v>
      </c>
      <c r="D971" s="79">
        <f t="shared" si="30"/>
        <v>3.5395136848880855E-2</v>
      </c>
      <c r="F971" s="76">
        <v>44503</v>
      </c>
      <c r="G971" s="78">
        <v>57.400002000000001</v>
      </c>
      <c r="H971" s="79">
        <f t="shared" si="31"/>
        <v>7.3710424710425378E-3</v>
      </c>
    </row>
    <row r="972" spans="2:8">
      <c r="B972" s="76">
        <v>44504</v>
      </c>
      <c r="C972" s="77">
        <v>65.400002000000001</v>
      </c>
      <c r="D972" s="79">
        <f t="shared" si="30"/>
        <v>8.5297115343415664E-2</v>
      </c>
      <c r="F972" s="76">
        <v>44504</v>
      </c>
      <c r="G972" s="78">
        <v>57.57</v>
      </c>
      <c r="H972" s="79">
        <f t="shared" si="31"/>
        <v>2.9616375274690698E-3</v>
      </c>
    </row>
    <row r="973" spans="2:8">
      <c r="B973" s="76">
        <v>44505</v>
      </c>
      <c r="C973" s="77">
        <v>67.239998</v>
      </c>
      <c r="D973" s="79">
        <f t="shared" si="30"/>
        <v>2.813449455246193E-2</v>
      </c>
      <c r="F973" s="76">
        <v>44505</v>
      </c>
      <c r="G973" s="78">
        <v>57.880001</v>
      </c>
      <c r="H973" s="79">
        <f t="shared" si="31"/>
        <v>5.384766371373975E-3</v>
      </c>
    </row>
    <row r="974" spans="2:8">
      <c r="B974" s="76">
        <v>44508</v>
      </c>
      <c r="C974" s="77">
        <v>66.839995999999999</v>
      </c>
      <c r="D974" s="79">
        <f t="shared" si="30"/>
        <v>-5.948869897348906E-3</v>
      </c>
      <c r="F974" s="76">
        <v>44508</v>
      </c>
      <c r="G974" s="78">
        <v>57.919998</v>
      </c>
      <c r="H974" s="79">
        <f t="shared" si="31"/>
        <v>6.9103316014109285E-4</v>
      </c>
    </row>
    <row r="975" spans="2:8">
      <c r="B975" s="76">
        <v>44509</v>
      </c>
      <c r="C975" s="77">
        <v>67.680000000000007</v>
      </c>
      <c r="D975" s="79">
        <f t="shared" si="30"/>
        <v>1.2567385551609063E-2</v>
      </c>
      <c r="F975" s="76">
        <v>44509</v>
      </c>
      <c r="G975" s="78">
        <v>57.720001000000003</v>
      </c>
      <c r="H975" s="79">
        <f t="shared" si="31"/>
        <v>-3.4529869976859498E-3</v>
      </c>
    </row>
    <row r="976" spans="2:8">
      <c r="B976" s="76">
        <v>44510</v>
      </c>
      <c r="C976" s="77">
        <v>66.919998000000007</v>
      </c>
      <c r="D976" s="79">
        <f t="shared" si="30"/>
        <v>-1.1229343971631205E-2</v>
      </c>
      <c r="F976" s="76">
        <v>44510</v>
      </c>
      <c r="G976" s="78">
        <v>57.290000999999997</v>
      </c>
      <c r="H976" s="79">
        <f t="shared" si="31"/>
        <v>-7.4497573206903931E-3</v>
      </c>
    </row>
    <row r="977" spans="2:8">
      <c r="B977" s="76">
        <v>44511</v>
      </c>
      <c r="C977" s="77">
        <v>67.459998999999996</v>
      </c>
      <c r="D977" s="79">
        <f t="shared" si="30"/>
        <v>8.0693517055991162E-3</v>
      </c>
      <c r="F977" s="76">
        <v>44511</v>
      </c>
      <c r="G977" s="78">
        <v>57.330002</v>
      </c>
      <c r="H977" s="79">
        <f t="shared" si="31"/>
        <v>6.9821957238233828E-4</v>
      </c>
    </row>
    <row r="978" spans="2:8">
      <c r="B978" s="76">
        <v>44512</v>
      </c>
      <c r="C978" s="77">
        <v>68</v>
      </c>
      <c r="D978" s="79">
        <f t="shared" si="30"/>
        <v>8.0047584939929185E-3</v>
      </c>
      <c r="F978" s="76">
        <v>44512</v>
      </c>
      <c r="G978" s="78">
        <v>57.73</v>
      </c>
      <c r="H978" s="79">
        <f t="shared" si="31"/>
        <v>6.9771147051415862E-3</v>
      </c>
    </row>
    <row r="979" spans="2:8">
      <c r="B979" s="76">
        <v>44515</v>
      </c>
      <c r="C979" s="77">
        <v>67</v>
      </c>
      <c r="D979" s="79">
        <f t="shared" si="30"/>
        <v>-1.4705882352941176E-2</v>
      </c>
      <c r="F979" s="76">
        <v>44515</v>
      </c>
      <c r="G979" s="78">
        <v>57.720001000000003</v>
      </c>
      <c r="H979" s="79">
        <f t="shared" si="31"/>
        <v>-1.7320284081055655E-4</v>
      </c>
    </row>
    <row r="980" spans="2:8">
      <c r="B980" s="76">
        <v>44516</v>
      </c>
      <c r="C980" s="77">
        <v>69</v>
      </c>
      <c r="D980" s="79">
        <f t="shared" si="30"/>
        <v>2.9850746268656716E-2</v>
      </c>
      <c r="F980" s="76">
        <v>44516</v>
      </c>
      <c r="G980" s="78">
        <v>57.93</v>
      </c>
      <c r="H980" s="79">
        <f t="shared" si="31"/>
        <v>3.6382362502037423E-3</v>
      </c>
    </row>
    <row r="981" spans="2:8">
      <c r="B981" s="76">
        <v>44517</v>
      </c>
      <c r="C981" s="77">
        <v>69.25</v>
      </c>
      <c r="D981" s="79">
        <f t="shared" si="30"/>
        <v>3.6231884057971015E-3</v>
      </c>
      <c r="F981" s="76">
        <v>44517</v>
      </c>
      <c r="G981" s="78">
        <v>57.77</v>
      </c>
      <c r="H981" s="79">
        <f t="shared" si="31"/>
        <v>-2.7619540825133192E-3</v>
      </c>
    </row>
    <row r="982" spans="2:8">
      <c r="B982" s="76">
        <v>44518</v>
      </c>
      <c r="C982" s="77">
        <v>71.190002000000007</v>
      </c>
      <c r="D982" s="79">
        <f t="shared" si="30"/>
        <v>2.8014469314079523E-2</v>
      </c>
      <c r="F982" s="76">
        <v>44518</v>
      </c>
      <c r="G982" s="78">
        <v>57.939999</v>
      </c>
      <c r="H982" s="79">
        <f t="shared" si="31"/>
        <v>2.9426865154924204E-3</v>
      </c>
    </row>
    <row r="983" spans="2:8">
      <c r="B983" s="76">
        <v>44519</v>
      </c>
      <c r="C983" s="77">
        <v>70.239998</v>
      </c>
      <c r="D983" s="79">
        <f t="shared" si="30"/>
        <v>-1.3344626679459945E-2</v>
      </c>
      <c r="F983" s="76">
        <v>44519</v>
      </c>
      <c r="G983" s="78">
        <v>57.799999</v>
      </c>
      <c r="H983" s="79">
        <f t="shared" si="31"/>
        <v>-2.4162927583067542E-3</v>
      </c>
    </row>
    <row r="984" spans="2:8">
      <c r="B984" s="76">
        <v>44522</v>
      </c>
      <c r="C984" s="77">
        <v>71.800003000000004</v>
      </c>
      <c r="D984" s="79">
        <f t="shared" si="30"/>
        <v>2.2209639015080891E-2</v>
      </c>
      <c r="F984" s="76">
        <v>44522</v>
      </c>
      <c r="G984" s="78">
        <v>57.709999000000003</v>
      </c>
      <c r="H984" s="79">
        <f t="shared" si="31"/>
        <v>-1.5570934525448055E-3</v>
      </c>
    </row>
    <row r="985" spans="2:8">
      <c r="B985" s="76">
        <v>44523</v>
      </c>
      <c r="C985" s="77">
        <v>73.349997999999999</v>
      </c>
      <c r="D985" s="79">
        <f t="shared" si="30"/>
        <v>2.1587673192715543E-2</v>
      </c>
      <c r="F985" s="76">
        <v>44523</v>
      </c>
      <c r="G985" s="78">
        <v>57.799999</v>
      </c>
      <c r="H985" s="79">
        <f t="shared" si="31"/>
        <v>1.5595217736877158E-3</v>
      </c>
    </row>
    <row r="986" spans="2:8">
      <c r="B986" s="76">
        <v>44524</v>
      </c>
      <c r="C986" s="77">
        <v>73.709998999999996</v>
      </c>
      <c r="D986" s="79">
        <f t="shared" si="30"/>
        <v>4.9079892272116616E-3</v>
      </c>
      <c r="F986" s="76">
        <v>44524</v>
      </c>
      <c r="G986" s="78">
        <v>57.869999</v>
      </c>
      <c r="H986" s="79">
        <f t="shared" si="31"/>
        <v>1.2110726853126811E-3</v>
      </c>
    </row>
    <row r="987" spans="2:8">
      <c r="B987" s="76">
        <v>44526</v>
      </c>
      <c r="C987" s="77">
        <v>71.430000000000007</v>
      </c>
      <c r="D987" s="79">
        <f t="shared" si="30"/>
        <v>-3.0932017784995353E-2</v>
      </c>
      <c r="F987" s="76">
        <v>44526</v>
      </c>
      <c r="G987" s="78">
        <v>56.580002</v>
      </c>
      <c r="H987" s="79">
        <f t="shared" si="31"/>
        <v>-2.2291291209457244E-2</v>
      </c>
    </row>
    <row r="988" spans="2:8">
      <c r="B988" s="76">
        <v>44529</v>
      </c>
      <c r="C988" s="77">
        <v>71.849997999999999</v>
      </c>
      <c r="D988" s="79">
        <f t="shared" si="30"/>
        <v>5.879854402911837E-3</v>
      </c>
      <c r="F988" s="76">
        <v>44529</v>
      </c>
      <c r="G988" s="78">
        <v>57.220001000000003</v>
      </c>
      <c r="H988" s="79">
        <f t="shared" si="31"/>
        <v>1.1311399388073601E-2</v>
      </c>
    </row>
    <row r="989" spans="2:8">
      <c r="B989" s="76">
        <v>44530</v>
      </c>
      <c r="C989" s="77">
        <v>69.440002000000007</v>
      </c>
      <c r="D989" s="79">
        <f t="shared" si="30"/>
        <v>-3.3542046862687351E-2</v>
      </c>
      <c r="F989" s="76">
        <v>44530</v>
      </c>
      <c r="G989" s="78">
        <v>56.130001</v>
      </c>
      <c r="H989" s="79">
        <f t="shared" si="31"/>
        <v>-1.9049283134406157E-2</v>
      </c>
    </row>
    <row r="990" spans="2:8">
      <c r="B990" s="76">
        <v>44531</v>
      </c>
      <c r="C990" s="77">
        <v>70.220000999999996</v>
      </c>
      <c r="D990" s="79">
        <f t="shared" si="30"/>
        <v>1.1232704169564818E-2</v>
      </c>
      <c r="F990" s="76">
        <v>44531</v>
      </c>
      <c r="G990" s="78">
        <v>55.439999</v>
      </c>
      <c r="H990" s="79">
        <f t="shared" si="31"/>
        <v>-1.2292926914432083E-2</v>
      </c>
    </row>
    <row r="991" spans="2:8">
      <c r="B991" s="76">
        <v>44532</v>
      </c>
      <c r="C991" s="77">
        <v>73.319999999999993</v>
      </c>
      <c r="D991" s="79">
        <f t="shared" si="30"/>
        <v>4.4146951806508759E-2</v>
      </c>
      <c r="F991" s="76">
        <v>44532</v>
      </c>
      <c r="G991" s="78">
        <v>56.290000999999997</v>
      </c>
      <c r="H991" s="79">
        <f t="shared" si="31"/>
        <v>1.5331926683476245E-2</v>
      </c>
    </row>
    <row r="992" spans="2:8">
      <c r="B992" s="76">
        <v>44533</v>
      </c>
      <c r="C992" s="77">
        <v>71.110000999999997</v>
      </c>
      <c r="D992" s="79">
        <f t="shared" si="30"/>
        <v>-3.0141830332787733E-2</v>
      </c>
      <c r="F992" s="76">
        <v>44533</v>
      </c>
      <c r="G992" s="78">
        <v>55.830002</v>
      </c>
      <c r="H992" s="79">
        <f t="shared" si="31"/>
        <v>-8.1719486912070986E-3</v>
      </c>
    </row>
    <row r="993" spans="2:8">
      <c r="B993" s="76">
        <v>44536</v>
      </c>
      <c r="C993" s="77">
        <v>73.379997000000003</v>
      </c>
      <c r="D993" s="79">
        <f t="shared" si="30"/>
        <v>3.1922317087296995E-2</v>
      </c>
      <c r="F993" s="76">
        <v>44536</v>
      </c>
      <c r="G993" s="78">
        <v>56.48</v>
      </c>
      <c r="H993" s="79">
        <f t="shared" si="31"/>
        <v>1.1642449878472089E-2</v>
      </c>
    </row>
    <row r="994" spans="2:8">
      <c r="B994" s="76">
        <v>44537</v>
      </c>
      <c r="C994" s="77">
        <v>76</v>
      </c>
      <c r="D994" s="79">
        <f t="shared" si="30"/>
        <v>3.5704593991738608E-2</v>
      </c>
      <c r="F994" s="76">
        <v>44537</v>
      </c>
      <c r="G994" s="78">
        <v>57.630001</v>
      </c>
      <c r="H994" s="79">
        <f t="shared" si="31"/>
        <v>2.0361207507082209E-2</v>
      </c>
    </row>
    <row r="995" spans="2:8">
      <c r="B995" s="76">
        <v>44538</v>
      </c>
      <c r="C995" s="77">
        <v>76.480002999999996</v>
      </c>
      <c r="D995" s="79">
        <f t="shared" si="30"/>
        <v>6.3158289473683737E-3</v>
      </c>
      <c r="F995" s="76">
        <v>44538</v>
      </c>
      <c r="G995" s="78">
        <v>57.84</v>
      </c>
      <c r="H995" s="79">
        <f t="shared" si="31"/>
        <v>3.643918034983261E-3</v>
      </c>
    </row>
    <row r="996" spans="2:8">
      <c r="B996" s="76">
        <v>44539</v>
      </c>
      <c r="C996" s="77">
        <v>77.75</v>
      </c>
      <c r="D996" s="79">
        <f t="shared" si="30"/>
        <v>1.6605608658252845E-2</v>
      </c>
      <c r="F996" s="76">
        <v>44539</v>
      </c>
      <c r="G996" s="78">
        <v>57.41</v>
      </c>
      <c r="H996" s="79">
        <f t="shared" si="31"/>
        <v>-7.4343015214385685E-3</v>
      </c>
    </row>
    <row r="997" spans="2:8">
      <c r="B997" s="76">
        <v>44540</v>
      </c>
      <c r="C997" s="77">
        <v>79.569999999999993</v>
      </c>
      <c r="D997" s="79">
        <f t="shared" si="30"/>
        <v>2.3408360128617276E-2</v>
      </c>
      <c r="F997" s="76">
        <v>44540</v>
      </c>
      <c r="G997" s="78">
        <v>57.91</v>
      </c>
      <c r="H997" s="79">
        <f t="shared" si="31"/>
        <v>8.7092840968472397E-3</v>
      </c>
    </row>
    <row r="998" spans="2:8">
      <c r="B998" s="76">
        <v>44543</v>
      </c>
      <c r="C998" s="77">
        <v>77.440002000000007</v>
      </c>
      <c r="D998" s="79">
        <f t="shared" si="30"/>
        <v>-2.6768857609651708E-2</v>
      </c>
      <c r="F998" s="76">
        <v>44543</v>
      </c>
      <c r="G998" s="78">
        <v>57.389999000000003</v>
      </c>
      <c r="H998" s="79">
        <f t="shared" si="31"/>
        <v>-8.979468140217467E-3</v>
      </c>
    </row>
    <row r="999" spans="2:8">
      <c r="B999" s="76">
        <v>44544</v>
      </c>
      <c r="C999" s="77">
        <v>76.639999000000003</v>
      </c>
      <c r="D999" s="79">
        <f t="shared" si="30"/>
        <v>-1.0330616985263039E-2</v>
      </c>
      <c r="F999" s="76">
        <v>44544</v>
      </c>
      <c r="G999" s="78">
        <v>56.970001000000003</v>
      </c>
      <c r="H999" s="79">
        <f t="shared" si="31"/>
        <v>-7.3183134225180873E-3</v>
      </c>
    </row>
    <row r="1000" spans="2:8">
      <c r="B1000" s="76">
        <v>44545</v>
      </c>
      <c r="C1000" s="77">
        <v>78.260002</v>
      </c>
      <c r="D1000" s="79">
        <f t="shared" si="30"/>
        <v>2.1137826476224208E-2</v>
      </c>
      <c r="F1000" s="76">
        <v>44545</v>
      </c>
      <c r="G1000" s="78">
        <v>57.790000999999997</v>
      </c>
      <c r="H1000" s="79">
        <f t="shared" si="31"/>
        <v>1.4393540207239826E-2</v>
      </c>
    </row>
    <row r="1001" spans="2:8">
      <c r="B1001" s="76">
        <v>44546</v>
      </c>
      <c r="C1001" s="77">
        <v>77.25</v>
      </c>
      <c r="D1001" s="79">
        <f t="shared" si="30"/>
        <v>-1.2905724178233475E-2</v>
      </c>
      <c r="F1001" s="76">
        <v>44546</v>
      </c>
      <c r="G1001" s="78">
        <v>57.34</v>
      </c>
      <c r="H1001" s="79">
        <f t="shared" si="31"/>
        <v>-7.7868314970265052E-3</v>
      </c>
    </row>
    <row r="1002" spans="2:8">
      <c r="B1002" s="76">
        <v>44547</v>
      </c>
      <c r="C1002" s="77">
        <v>76.830001999999993</v>
      </c>
      <c r="D1002" s="79">
        <f t="shared" si="30"/>
        <v>-5.4368673139159451E-3</v>
      </c>
      <c r="F1002" s="76">
        <v>44547</v>
      </c>
      <c r="G1002" s="78">
        <v>56.790000999999997</v>
      </c>
      <c r="H1002" s="79">
        <f t="shared" si="31"/>
        <v>-9.5918904778515297E-3</v>
      </c>
    </row>
    <row r="1003" spans="2:8">
      <c r="B1003" s="76">
        <v>44550</v>
      </c>
      <c r="C1003" s="77">
        <v>75.129997000000003</v>
      </c>
      <c r="D1003" s="79">
        <f t="shared" si="30"/>
        <v>-2.2126837898559345E-2</v>
      </c>
      <c r="F1003" s="76">
        <v>44550</v>
      </c>
      <c r="G1003" s="78">
        <v>55.91</v>
      </c>
      <c r="H1003" s="79">
        <f t="shared" si="31"/>
        <v>-1.5495703196060872E-2</v>
      </c>
    </row>
    <row r="1004" spans="2:8">
      <c r="B1004" s="76">
        <v>44551</v>
      </c>
      <c r="C1004" s="77">
        <v>78.690002000000007</v>
      </c>
      <c r="D1004" s="79">
        <f t="shared" si="30"/>
        <v>4.7384601918725004E-2</v>
      </c>
      <c r="F1004" s="76">
        <v>44551</v>
      </c>
      <c r="G1004" s="78">
        <v>56.970001000000003</v>
      </c>
      <c r="H1004" s="79">
        <f t="shared" si="31"/>
        <v>1.8959059202289519E-2</v>
      </c>
    </row>
    <row r="1005" spans="2:8">
      <c r="B1005" s="76">
        <v>44552</v>
      </c>
      <c r="C1005" s="77">
        <v>81.059997999999993</v>
      </c>
      <c r="D1005" s="79">
        <f t="shared" si="30"/>
        <v>3.011813368615731E-2</v>
      </c>
      <c r="F1005" s="76">
        <v>44552</v>
      </c>
      <c r="G1005" s="78">
        <v>57.509998000000003</v>
      </c>
      <c r="H1005" s="79">
        <f t="shared" si="31"/>
        <v>9.4786201601084683E-3</v>
      </c>
    </row>
    <row r="1006" spans="2:8">
      <c r="B1006" s="76">
        <v>44553</v>
      </c>
      <c r="C1006" s="77">
        <v>82.150002000000001</v>
      </c>
      <c r="D1006" s="79">
        <f t="shared" si="30"/>
        <v>1.3446879186945053E-2</v>
      </c>
      <c r="F1006" s="76">
        <v>44553</v>
      </c>
      <c r="G1006" s="78">
        <v>57.860000999999997</v>
      </c>
      <c r="H1006" s="79">
        <f t="shared" si="31"/>
        <v>6.0859504811666626E-3</v>
      </c>
    </row>
    <row r="1007" spans="2:8">
      <c r="B1007" s="76">
        <v>44557</v>
      </c>
      <c r="C1007" s="77">
        <v>84.309997999999993</v>
      </c>
      <c r="D1007" s="79">
        <f t="shared" si="30"/>
        <v>2.6293316462731097E-2</v>
      </c>
      <c r="F1007" s="76">
        <v>44557</v>
      </c>
      <c r="G1007" s="78">
        <v>58.720001000000003</v>
      </c>
      <c r="H1007" s="79">
        <f t="shared" si="31"/>
        <v>1.4863463275778487E-2</v>
      </c>
    </row>
    <row r="1008" spans="2:8">
      <c r="B1008" s="76">
        <v>44558</v>
      </c>
      <c r="C1008" s="77">
        <v>84.459998999999996</v>
      </c>
      <c r="D1008" s="79">
        <f t="shared" si="30"/>
        <v>1.7791602841694192E-3</v>
      </c>
      <c r="F1008" s="76">
        <v>44558</v>
      </c>
      <c r="G1008" s="78">
        <v>58.639999000000003</v>
      </c>
      <c r="H1008" s="79">
        <f t="shared" si="31"/>
        <v>-1.3624318569068203E-3</v>
      </c>
    </row>
    <row r="1009" spans="2:8">
      <c r="B1009" s="76">
        <v>44559</v>
      </c>
      <c r="C1009" s="77">
        <v>85.050003000000004</v>
      </c>
      <c r="D1009" s="79">
        <f t="shared" si="30"/>
        <v>6.9856027348521223E-3</v>
      </c>
      <c r="F1009" s="76">
        <v>44559</v>
      </c>
      <c r="G1009" s="78">
        <v>58.740001999999997</v>
      </c>
      <c r="H1009" s="79">
        <f t="shared" si="31"/>
        <v>1.7053717889728109E-3</v>
      </c>
    </row>
    <row r="1010" spans="2:8">
      <c r="B1010" s="76">
        <v>44560</v>
      </c>
      <c r="C1010" s="77">
        <v>84.050003000000004</v>
      </c>
      <c r="D1010" s="79">
        <f t="shared" si="30"/>
        <v>-1.1757789120830484E-2</v>
      </c>
      <c r="F1010" s="76">
        <v>44560</v>
      </c>
      <c r="G1010" s="78">
        <v>58.57</v>
      </c>
      <c r="H1010" s="79">
        <f t="shared" si="31"/>
        <v>-2.8941435854904578E-3</v>
      </c>
    </row>
    <row r="1011" spans="2:8">
      <c r="B1011" s="76">
        <v>44561</v>
      </c>
      <c r="C1011" s="77">
        <v>85.709998999999996</v>
      </c>
      <c r="D1011" s="79">
        <f t="shared" si="30"/>
        <v>1.9750100425338382E-2</v>
      </c>
      <c r="F1011" s="76">
        <v>44561</v>
      </c>
      <c r="G1011" s="78">
        <v>58.450001</v>
      </c>
      <c r="H1011" s="79">
        <f t="shared" si="31"/>
        <v>-2.0488133856923336E-3</v>
      </c>
    </row>
    <row r="1012" spans="2:8">
      <c r="B1012" s="76">
        <v>44564</v>
      </c>
      <c r="C1012" s="77">
        <v>83.489998</v>
      </c>
      <c r="D1012" s="79">
        <f t="shared" si="30"/>
        <v>-2.5901307034200252E-2</v>
      </c>
      <c r="F1012" s="76">
        <v>44564</v>
      </c>
      <c r="G1012" s="78">
        <v>58.77</v>
      </c>
      <c r="H1012" s="79">
        <f t="shared" si="31"/>
        <v>5.4747475538965825E-3</v>
      </c>
    </row>
    <row r="1013" spans="2:8">
      <c r="B1013" s="76">
        <v>44565</v>
      </c>
      <c r="C1013" s="77">
        <v>85.419998000000007</v>
      </c>
      <c r="D1013" s="79">
        <f t="shared" si="30"/>
        <v>2.3116541456858184E-2</v>
      </c>
      <c r="F1013" s="76">
        <v>44565</v>
      </c>
      <c r="G1013" s="78">
        <v>58.82</v>
      </c>
      <c r="H1013" s="79">
        <f t="shared" si="31"/>
        <v>8.5077420452607034E-4</v>
      </c>
    </row>
    <row r="1014" spans="2:8">
      <c r="B1014" s="76">
        <v>44566</v>
      </c>
      <c r="C1014" s="77">
        <v>82.400002000000001</v>
      </c>
      <c r="D1014" s="79">
        <f t="shared" si="30"/>
        <v>-3.5354671865012288E-2</v>
      </c>
      <c r="F1014" s="76">
        <v>44566</v>
      </c>
      <c r="G1014" s="78">
        <v>57.66</v>
      </c>
      <c r="H1014" s="79">
        <f t="shared" si="31"/>
        <v>-1.9721183270996322E-2</v>
      </c>
    </row>
    <row r="1015" spans="2:8">
      <c r="B1015" s="76">
        <v>44567</v>
      </c>
      <c r="C1015" s="77">
        <v>82.459998999999996</v>
      </c>
      <c r="D1015" s="79">
        <f t="shared" si="30"/>
        <v>7.2811891436599279E-4</v>
      </c>
      <c r="F1015" s="76">
        <v>44567</v>
      </c>
      <c r="G1015" s="78">
        <v>57.599997999999999</v>
      </c>
      <c r="H1015" s="79">
        <f t="shared" si="31"/>
        <v>-1.0406174124175725E-3</v>
      </c>
    </row>
    <row r="1016" spans="2:8">
      <c r="B1016" s="76">
        <v>44568</v>
      </c>
      <c r="C1016" s="77">
        <v>78.629997000000003</v>
      </c>
      <c r="D1016" s="79">
        <f t="shared" si="30"/>
        <v>-4.6446786883904682E-2</v>
      </c>
      <c r="F1016" s="76">
        <v>44568</v>
      </c>
      <c r="G1016" s="78">
        <v>57.400002000000001</v>
      </c>
      <c r="H1016" s="79">
        <f t="shared" si="31"/>
        <v>-3.4721528983386201E-3</v>
      </c>
    </row>
    <row r="1017" spans="2:8">
      <c r="B1017" s="76">
        <v>44571</v>
      </c>
      <c r="C1017" s="77">
        <v>79.010002</v>
      </c>
      <c r="D1017" s="79">
        <f t="shared" si="30"/>
        <v>4.8328248060342293E-3</v>
      </c>
      <c r="F1017" s="76">
        <v>44571</v>
      </c>
      <c r="G1017" s="78">
        <v>57.330002</v>
      </c>
      <c r="H1017" s="79">
        <f t="shared" si="31"/>
        <v>-1.2195121526302436E-3</v>
      </c>
    </row>
    <row r="1018" spans="2:8">
      <c r="B1018" s="76">
        <v>44572</v>
      </c>
      <c r="C1018" s="77">
        <v>80.489998</v>
      </c>
      <c r="D1018" s="79">
        <f t="shared" si="30"/>
        <v>1.8731754999829008E-2</v>
      </c>
      <c r="F1018" s="76">
        <v>44572</v>
      </c>
      <c r="G1018" s="78">
        <v>57.84</v>
      </c>
      <c r="H1018" s="79">
        <f t="shared" si="31"/>
        <v>8.8958308426363396E-3</v>
      </c>
    </row>
    <row r="1019" spans="2:8">
      <c r="B1019" s="76">
        <v>44573</v>
      </c>
      <c r="C1019" s="77">
        <v>81.180000000000007</v>
      </c>
      <c r="D1019" s="79">
        <f t="shared" si="30"/>
        <v>8.5725185382661689E-3</v>
      </c>
      <c r="F1019" s="76">
        <v>44573</v>
      </c>
      <c r="G1019" s="78">
        <v>57.939999</v>
      </c>
      <c r="H1019" s="79">
        <f t="shared" si="31"/>
        <v>1.7288900414937213E-3</v>
      </c>
    </row>
    <row r="1020" spans="2:8">
      <c r="B1020" s="76">
        <v>44574</v>
      </c>
      <c r="C1020" s="77">
        <v>80.580001999999993</v>
      </c>
      <c r="D1020" s="79">
        <f t="shared" si="30"/>
        <v>-7.3909583641292628E-3</v>
      </c>
      <c r="F1020" s="76">
        <v>44574</v>
      </c>
      <c r="G1020" s="78">
        <v>57.189999</v>
      </c>
      <c r="H1020" s="79">
        <f t="shared" si="31"/>
        <v>-1.2944425490928987E-2</v>
      </c>
    </row>
    <row r="1021" spans="2:8">
      <c r="B1021" s="76">
        <v>44575</v>
      </c>
      <c r="C1021" s="77">
        <v>78.680000000000007</v>
      </c>
      <c r="D1021" s="79">
        <f t="shared" si="30"/>
        <v>-2.3579076108734602E-2</v>
      </c>
      <c r="F1021" s="76">
        <v>44575</v>
      </c>
      <c r="G1021" s="78">
        <v>57.240001999999997</v>
      </c>
      <c r="H1021" s="79">
        <f t="shared" si="31"/>
        <v>8.7433119206728244E-4</v>
      </c>
    </row>
    <row r="1022" spans="2:8">
      <c r="B1022" s="76">
        <v>44579</v>
      </c>
      <c r="C1022" s="77">
        <v>75.949996999999996</v>
      </c>
      <c r="D1022" s="79">
        <f t="shared" si="30"/>
        <v>-3.4697547025927943E-2</v>
      </c>
      <c r="F1022" s="76">
        <v>44579</v>
      </c>
      <c r="G1022" s="78">
        <v>56.189999</v>
      </c>
      <c r="H1022" s="79">
        <f t="shared" si="31"/>
        <v>-1.8343867283582498E-2</v>
      </c>
    </row>
    <row r="1023" spans="2:8">
      <c r="B1023" s="76">
        <v>44580</v>
      </c>
      <c r="C1023" s="77">
        <v>72.629997000000003</v>
      </c>
      <c r="D1023" s="79">
        <f t="shared" si="30"/>
        <v>-4.3712970785239051E-2</v>
      </c>
      <c r="F1023" s="76">
        <v>44580</v>
      </c>
      <c r="G1023" s="78">
        <v>55.580002</v>
      </c>
      <c r="H1023" s="79">
        <f t="shared" si="31"/>
        <v>-1.0855971006513096E-2</v>
      </c>
    </row>
    <row r="1024" spans="2:8">
      <c r="B1024" s="76">
        <v>44581</v>
      </c>
      <c r="C1024" s="77">
        <v>69.739998</v>
      </c>
      <c r="D1024" s="79">
        <f t="shared" si="30"/>
        <v>-3.9790707963267613E-2</v>
      </c>
      <c r="F1024" s="76">
        <v>44581</v>
      </c>
      <c r="G1024" s="78">
        <v>54.919998</v>
      </c>
      <c r="H1024" s="79">
        <f t="shared" si="31"/>
        <v>-1.1874846639983941E-2</v>
      </c>
    </row>
    <row r="1025" spans="2:8">
      <c r="B1025" s="76">
        <v>44582</v>
      </c>
      <c r="C1025" s="77">
        <v>67</v>
      </c>
      <c r="D1025" s="79">
        <f t="shared" si="30"/>
        <v>-3.9288759371630608E-2</v>
      </c>
      <c r="F1025" s="76">
        <v>44582</v>
      </c>
      <c r="G1025" s="78">
        <v>53.900002000000001</v>
      </c>
      <c r="H1025" s="79">
        <f t="shared" si="31"/>
        <v>-1.8572396889016622E-2</v>
      </c>
    </row>
    <row r="1026" spans="2:8">
      <c r="B1026" s="76">
        <v>44585</v>
      </c>
      <c r="C1026" s="77">
        <v>69.800003000000004</v>
      </c>
      <c r="D1026" s="79">
        <f t="shared" si="30"/>
        <v>4.1791089552238862E-2</v>
      </c>
      <c r="F1026" s="76">
        <v>44585</v>
      </c>
      <c r="G1026" s="78">
        <v>54.189999</v>
      </c>
      <c r="H1026" s="79">
        <f t="shared" si="31"/>
        <v>5.380278093496167E-3</v>
      </c>
    </row>
    <row r="1027" spans="2:8">
      <c r="B1027" s="76">
        <v>44586</v>
      </c>
      <c r="C1027" s="77">
        <v>67.75</v>
      </c>
      <c r="D1027" s="79">
        <f t="shared" si="30"/>
        <v>-2.9369669224799371E-2</v>
      </c>
      <c r="F1027" s="76">
        <v>44586</v>
      </c>
      <c r="G1027" s="78">
        <v>53.52</v>
      </c>
      <c r="H1027" s="79">
        <f t="shared" si="31"/>
        <v>-1.2363886554048416E-2</v>
      </c>
    </row>
    <row r="1028" spans="2:8">
      <c r="B1028" s="76">
        <v>44587</v>
      </c>
      <c r="C1028" s="77">
        <v>65.800003000000004</v>
      </c>
      <c r="D1028" s="79">
        <f t="shared" si="30"/>
        <v>-2.878224354243537E-2</v>
      </c>
      <c r="F1028" s="76">
        <v>44587</v>
      </c>
      <c r="G1028" s="78">
        <v>53.360000999999997</v>
      </c>
      <c r="H1028" s="79">
        <f t="shared" si="31"/>
        <v>-2.989517937219847E-3</v>
      </c>
    </row>
    <row r="1029" spans="2:8">
      <c r="B1029" s="76">
        <v>44588</v>
      </c>
      <c r="C1029" s="77">
        <v>64.190002000000007</v>
      </c>
      <c r="D1029" s="79">
        <f t="shared" si="30"/>
        <v>-2.4468099188384489E-2</v>
      </c>
      <c r="F1029" s="76">
        <v>44588</v>
      </c>
      <c r="G1029" s="78">
        <v>53.009998000000003</v>
      </c>
      <c r="H1029" s="79">
        <f t="shared" si="31"/>
        <v>-6.5592764887690662E-3</v>
      </c>
    </row>
    <row r="1030" spans="2:8">
      <c r="B1030" s="76">
        <v>44589</v>
      </c>
      <c r="C1030" s="77">
        <v>66.360000999999997</v>
      </c>
      <c r="D1030" s="79">
        <f t="shared" ref="D1030:D1093" si="32">(C1030-C1029)/C1029</f>
        <v>3.3805872135663585E-2</v>
      </c>
      <c r="F1030" s="76">
        <v>44589</v>
      </c>
      <c r="G1030" s="78">
        <v>54.27</v>
      </c>
      <c r="H1030" s="79">
        <f t="shared" ref="H1030:H1093" si="33">(G1030-G1029)/G1029</f>
        <v>2.3769138795289146E-2</v>
      </c>
    </row>
    <row r="1031" spans="2:8">
      <c r="B1031" s="76">
        <v>44592</v>
      </c>
      <c r="C1031" s="77">
        <v>67.989998</v>
      </c>
      <c r="D1031" s="79">
        <f t="shared" si="32"/>
        <v>2.4562944174759779E-2</v>
      </c>
      <c r="F1031" s="76">
        <v>44592</v>
      </c>
      <c r="G1031" s="78">
        <v>55.299999</v>
      </c>
      <c r="H1031" s="79">
        <f t="shared" si="33"/>
        <v>1.8979159756771634E-2</v>
      </c>
    </row>
    <row r="1032" spans="2:8">
      <c r="B1032" s="76">
        <v>44593</v>
      </c>
      <c r="C1032" s="77">
        <v>70.099997999999999</v>
      </c>
      <c r="D1032" s="79">
        <f t="shared" si="32"/>
        <v>3.1033976497543057E-2</v>
      </c>
      <c r="F1032" s="76">
        <v>44593</v>
      </c>
      <c r="G1032" s="78">
        <v>55.700001</v>
      </c>
      <c r="H1032" s="79">
        <f t="shared" si="33"/>
        <v>7.2333093532244118E-3</v>
      </c>
    </row>
    <row r="1033" spans="2:8">
      <c r="B1033" s="76">
        <v>44594</v>
      </c>
      <c r="C1033" s="77">
        <v>71.550003000000004</v>
      </c>
      <c r="D1033" s="79">
        <f t="shared" si="32"/>
        <v>2.0684808008125825E-2</v>
      </c>
      <c r="F1033" s="76">
        <v>44594</v>
      </c>
      <c r="G1033" s="78">
        <v>56.18</v>
      </c>
      <c r="H1033" s="79">
        <f t="shared" si="33"/>
        <v>8.6175761469016749E-3</v>
      </c>
    </row>
    <row r="1034" spans="2:8">
      <c r="B1034" s="76">
        <v>44595</v>
      </c>
      <c r="C1034" s="77">
        <v>69.489998</v>
      </c>
      <c r="D1034" s="79">
        <f t="shared" si="32"/>
        <v>-2.8791123880176548E-2</v>
      </c>
      <c r="F1034" s="76">
        <v>44595</v>
      </c>
      <c r="G1034" s="78">
        <v>54.849997999999999</v>
      </c>
      <c r="H1034" s="79">
        <f t="shared" si="33"/>
        <v>-2.3673940904236388E-2</v>
      </c>
    </row>
    <row r="1035" spans="2:8">
      <c r="B1035" s="76">
        <v>44596</v>
      </c>
      <c r="C1035" s="77">
        <v>66.809997999999993</v>
      </c>
      <c r="D1035" s="79">
        <f t="shared" si="32"/>
        <v>-3.8566701354632457E-2</v>
      </c>
      <c r="F1035" s="76">
        <v>44596</v>
      </c>
      <c r="G1035" s="78">
        <v>55.16</v>
      </c>
      <c r="H1035" s="79">
        <f t="shared" si="33"/>
        <v>5.6518142443687464E-3</v>
      </c>
    </row>
    <row r="1036" spans="2:8">
      <c r="B1036" s="76">
        <v>44599</v>
      </c>
      <c r="C1036" s="77">
        <v>67.519997000000004</v>
      </c>
      <c r="D1036" s="79">
        <f t="shared" si="32"/>
        <v>1.062713697431948E-2</v>
      </c>
      <c r="F1036" s="76">
        <v>44599</v>
      </c>
      <c r="G1036" s="78">
        <v>54.970001000000003</v>
      </c>
      <c r="H1036" s="79">
        <f t="shared" si="33"/>
        <v>-3.4445068890499122E-3</v>
      </c>
    </row>
    <row r="1037" spans="2:8">
      <c r="B1037" s="76">
        <v>44600</v>
      </c>
      <c r="C1037" s="77">
        <v>70.069999999999993</v>
      </c>
      <c r="D1037" s="79">
        <f t="shared" si="32"/>
        <v>3.7766633787024446E-2</v>
      </c>
      <c r="F1037" s="76">
        <v>44600</v>
      </c>
      <c r="G1037" s="78">
        <v>55.470001000000003</v>
      </c>
      <c r="H1037" s="79">
        <f t="shared" si="33"/>
        <v>9.0958703093347217E-3</v>
      </c>
    </row>
    <row r="1038" spans="2:8">
      <c r="B1038" s="76">
        <v>44601</v>
      </c>
      <c r="C1038" s="77">
        <v>71.480002999999996</v>
      </c>
      <c r="D1038" s="79">
        <f t="shared" si="32"/>
        <v>2.012277722277727E-2</v>
      </c>
      <c r="F1038" s="76">
        <v>44601</v>
      </c>
      <c r="G1038" s="78">
        <v>56.299999</v>
      </c>
      <c r="H1038" s="79">
        <f t="shared" si="33"/>
        <v>1.496300676107787E-2</v>
      </c>
    </row>
    <row r="1039" spans="2:8">
      <c r="B1039" s="76">
        <v>44602</v>
      </c>
      <c r="C1039" s="77">
        <v>69.029999000000004</v>
      </c>
      <c r="D1039" s="79">
        <f t="shared" si="32"/>
        <v>-3.4275376289505652E-2</v>
      </c>
      <c r="F1039" s="76">
        <v>44602</v>
      </c>
      <c r="G1039" s="78">
        <v>55.32</v>
      </c>
      <c r="H1039" s="79">
        <f t="shared" si="33"/>
        <v>-1.7406732103139103E-2</v>
      </c>
    </row>
    <row r="1040" spans="2:8">
      <c r="B1040" s="76">
        <v>44603</v>
      </c>
      <c r="C1040" s="77">
        <v>68.379997000000003</v>
      </c>
      <c r="D1040" s="79">
        <f t="shared" si="32"/>
        <v>-9.4162249661918808E-3</v>
      </c>
      <c r="F1040" s="76">
        <v>44603</v>
      </c>
      <c r="G1040" s="78">
        <v>54.27</v>
      </c>
      <c r="H1040" s="79">
        <f t="shared" si="33"/>
        <v>-1.8980477223427279E-2</v>
      </c>
    </row>
    <row r="1041" spans="2:8">
      <c r="B1041" s="76">
        <v>44606</v>
      </c>
      <c r="C1041" s="77">
        <v>68.779999000000004</v>
      </c>
      <c r="D1041" s="79">
        <f t="shared" si="32"/>
        <v>5.8496931492992114E-3</v>
      </c>
      <c r="F1041" s="76">
        <v>44606</v>
      </c>
      <c r="G1041" s="78">
        <v>54.099997999999999</v>
      </c>
      <c r="H1041" s="79">
        <f t="shared" si="33"/>
        <v>-3.1325225723236364E-3</v>
      </c>
    </row>
    <row r="1042" spans="2:8">
      <c r="B1042" s="76">
        <v>44607</v>
      </c>
      <c r="C1042" s="77">
        <v>71.339995999999999</v>
      </c>
      <c r="D1042" s="79">
        <f t="shared" si="32"/>
        <v>3.7220079052341884E-2</v>
      </c>
      <c r="F1042" s="76">
        <v>44607</v>
      </c>
      <c r="G1042" s="78">
        <v>54.939999</v>
      </c>
      <c r="H1042" s="79">
        <f t="shared" si="33"/>
        <v>1.5526821276407457E-2</v>
      </c>
    </row>
    <row r="1043" spans="2:8">
      <c r="B1043" s="76">
        <v>44608</v>
      </c>
      <c r="C1043" s="77">
        <v>71.169998000000007</v>
      </c>
      <c r="D1043" s="79">
        <f t="shared" si="32"/>
        <v>-2.3829269628777741E-3</v>
      </c>
      <c r="F1043" s="76">
        <v>44608</v>
      </c>
      <c r="G1043" s="78">
        <v>55.040000999999997</v>
      </c>
      <c r="H1043" s="79">
        <f t="shared" si="33"/>
        <v>1.8202038918856982E-3</v>
      </c>
    </row>
    <row r="1044" spans="2:8">
      <c r="B1044" s="76">
        <v>44609</v>
      </c>
      <c r="C1044" s="77">
        <v>69.050003000000004</v>
      </c>
      <c r="D1044" s="79">
        <f t="shared" si="32"/>
        <v>-2.9787762534432032E-2</v>
      </c>
      <c r="F1044" s="76">
        <v>44609</v>
      </c>
      <c r="G1044" s="78">
        <v>53.900002000000001</v>
      </c>
      <c r="H1044" s="79">
        <f t="shared" si="33"/>
        <v>-2.0712190757409252E-2</v>
      </c>
    </row>
    <row r="1045" spans="2:8">
      <c r="B1045" s="76">
        <v>44610</v>
      </c>
      <c r="C1045" s="77">
        <v>71.720000999999996</v>
      </c>
      <c r="D1045" s="79">
        <f t="shared" si="32"/>
        <v>3.8667601506114237E-2</v>
      </c>
      <c r="F1045" s="76">
        <v>44610</v>
      </c>
      <c r="G1045" s="78">
        <v>53.529998999999997</v>
      </c>
      <c r="H1045" s="79">
        <f t="shared" si="33"/>
        <v>-6.8646194113314522E-3</v>
      </c>
    </row>
    <row r="1046" spans="2:8">
      <c r="B1046" s="76">
        <v>44614</v>
      </c>
      <c r="C1046" s="77">
        <v>69.360000999999997</v>
      </c>
      <c r="D1046" s="79">
        <f t="shared" si="32"/>
        <v>-3.2905744103377793E-2</v>
      </c>
      <c r="F1046" s="76">
        <v>44614</v>
      </c>
      <c r="G1046" s="78">
        <v>52.959999000000003</v>
      </c>
      <c r="H1046" s="79">
        <f t="shared" si="33"/>
        <v>-1.0648234833704988E-2</v>
      </c>
    </row>
    <row r="1047" spans="2:8">
      <c r="B1047" s="76">
        <v>44615</v>
      </c>
      <c r="C1047" s="77">
        <v>66.620002999999997</v>
      </c>
      <c r="D1047" s="79">
        <f t="shared" si="32"/>
        <v>-3.9504007504267483E-2</v>
      </c>
      <c r="F1047" s="76">
        <v>44615</v>
      </c>
      <c r="G1047" s="78">
        <v>52.009998000000003</v>
      </c>
      <c r="H1047" s="79">
        <f t="shared" si="33"/>
        <v>-1.7938085686142108E-2</v>
      </c>
    </row>
    <row r="1048" spans="2:8">
      <c r="B1048" s="76">
        <v>44616</v>
      </c>
      <c r="C1048" s="77">
        <v>69.540001000000004</v>
      </c>
      <c r="D1048" s="79">
        <f t="shared" si="32"/>
        <v>4.3830649482258455E-2</v>
      </c>
      <c r="F1048" s="76">
        <v>44616</v>
      </c>
      <c r="G1048" s="78">
        <v>52.759998000000003</v>
      </c>
      <c r="H1048" s="79">
        <f t="shared" si="33"/>
        <v>1.442030434225358E-2</v>
      </c>
    </row>
    <row r="1049" spans="2:8">
      <c r="B1049" s="76">
        <v>44617</v>
      </c>
      <c r="C1049" s="77">
        <v>72.720000999999996</v>
      </c>
      <c r="D1049" s="79">
        <f t="shared" si="32"/>
        <v>4.572907613274254E-2</v>
      </c>
      <c r="F1049" s="76">
        <v>44617</v>
      </c>
      <c r="G1049" s="78">
        <v>53.98</v>
      </c>
      <c r="H1049" s="79">
        <f t="shared" si="33"/>
        <v>2.3123617252600991E-2</v>
      </c>
    </row>
    <row r="1050" spans="2:8">
      <c r="B1050" s="76">
        <v>44620</v>
      </c>
      <c r="C1050" s="77">
        <v>74.419998000000007</v>
      </c>
      <c r="D1050" s="79">
        <f t="shared" si="32"/>
        <v>2.337729615817814E-2</v>
      </c>
      <c r="F1050" s="76">
        <v>44620</v>
      </c>
      <c r="G1050" s="78">
        <v>53.869999</v>
      </c>
      <c r="H1050" s="79">
        <f t="shared" si="33"/>
        <v>-2.037810300111095E-3</v>
      </c>
    </row>
    <row r="1051" spans="2:8">
      <c r="B1051" s="76">
        <v>44621</v>
      </c>
      <c r="C1051" s="77">
        <v>73.050003000000004</v>
      </c>
      <c r="D1051" s="79">
        <f t="shared" si="32"/>
        <v>-1.8408963139182062E-2</v>
      </c>
      <c r="F1051" s="76">
        <v>44621</v>
      </c>
      <c r="G1051" s="78">
        <v>53.02</v>
      </c>
      <c r="H1051" s="79">
        <f t="shared" si="33"/>
        <v>-1.5778708293645909E-2</v>
      </c>
    </row>
    <row r="1052" spans="2:8">
      <c r="B1052" s="76">
        <v>44622</v>
      </c>
      <c r="C1052" s="77">
        <v>77.269997000000004</v>
      </c>
      <c r="D1052" s="79">
        <f t="shared" si="32"/>
        <v>5.7768567100537967E-2</v>
      </c>
      <c r="F1052" s="76">
        <v>44622</v>
      </c>
      <c r="G1052" s="78">
        <v>53.990001999999997</v>
      </c>
      <c r="H1052" s="79">
        <f t="shared" si="33"/>
        <v>1.8295020746887849E-2</v>
      </c>
    </row>
    <row r="1053" spans="2:8">
      <c r="B1053" s="76">
        <v>44623</v>
      </c>
      <c r="C1053" s="77">
        <v>74.870002999999997</v>
      </c>
      <c r="D1053" s="79">
        <f t="shared" si="32"/>
        <v>-3.1059843317969928E-2</v>
      </c>
      <c r="F1053" s="76">
        <v>44623</v>
      </c>
      <c r="G1053" s="78">
        <v>53.720001000000003</v>
      </c>
      <c r="H1053" s="79">
        <f t="shared" si="33"/>
        <v>-5.0009444341193674E-3</v>
      </c>
    </row>
    <row r="1054" spans="2:8">
      <c r="B1054" s="76">
        <v>44624</v>
      </c>
      <c r="C1054" s="77">
        <v>74.110000999999997</v>
      </c>
      <c r="D1054" s="79">
        <f t="shared" si="32"/>
        <v>-1.0150954581903784E-2</v>
      </c>
      <c r="F1054" s="76">
        <v>44624</v>
      </c>
      <c r="G1054" s="78">
        <v>53.310001</v>
      </c>
      <c r="H1054" s="79">
        <f t="shared" si="33"/>
        <v>-7.6321666486939129E-3</v>
      </c>
    </row>
    <row r="1055" spans="2:8">
      <c r="B1055" s="76">
        <v>44627</v>
      </c>
      <c r="C1055" s="77">
        <v>67.919998000000007</v>
      </c>
      <c r="D1055" s="79">
        <f t="shared" si="32"/>
        <v>-8.3524529975380651E-2</v>
      </c>
      <c r="F1055" s="76">
        <v>44627</v>
      </c>
      <c r="G1055" s="78">
        <v>51.709999000000003</v>
      </c>
      <c r="H1055" s="79">
        <f t="shared" si="33"/>
        <v>-3.0013167698120964E-2</v>
      </c>
    </row>
    <row r="1056" spans="2:8">
      <c r="B1056" s="76">
        <v>44628</v>
      </c>
      <c r="C1056" s="77">
        <v>70.569999999999993</v>
      </c>
      <c r="D1056" s="79">
        <f t="shared" si="32"/>
        <v>3.9016520583525137E-2</v>
      </c>
      <c r="F1056" s="76">
        <v>44628</v>
      </c>
      <c r="G1056" s="78">
        <v>51.360000999999997</v>
      </c>
      <c r="H1056" s="79">
        <f t="shared" si="33"/>
        <v>-6.7684781815603289E-3</v>
      </c>
    </row>
    <row r="1057" spans="2:8">
      <c r="B1057" s="76">
        <v>44629</v>
      </c>
      <c r="C1057" s="77">
        <v>73.849997999999999</v>
      </c>
      <c r="D1057" s="79">
        <f t="shared" si="32"/>
        <v>4.647864531670691E-2</v>
      </c>
      <c r="F1057" s="76">
        <v>44629</v>
      </c>
      <c r="G1057" s="78">
        <v>52.73</v>
      </c>
      <c r="H1057" s="79">
        <f t="shared" si="33"/>
        <v>2.6674434838893403E-2</v>
      </c>
    </row>
    <row r="1058" spans="2:8">
      <c r="B1058" s="76">
        <v>44630</v>
      </c>
      <c r="C1058" s="77">
        <v>74.660004000000001</v>
      </c>
      <c r="D1058" s="79">
        <f t="shared" si="32"/>
        <v>1.0968260283500635E-2</v>
      </c>
      <c r="F1058" s="76">
        <v>44630</v>
      </c>
      <c r="G1058" s="78">
        <v>52.52</v>
      </c>
      <c r="H1058" s="79">
        <f t="shared" si="33"/>
        <v>-3.9825526265881619E-3</v>
      </c>
    </row>
    <row r="1059" spans="2:8">
      <c r="B1059" s="76">
        <v>44631</v>
      </c>
      <c r="C1059" s="77">
        <v>74.330001999999993</v>
      </c>
      <c r="D1059" s="79">
        <f t="shared" si="32"/>
        <v>-4.420064054644404E-3</v>
      </c>
      <c r="F1059" s="76">
        <v>44631</v>
      </c>
      <c r="G1059" s="78">
        <v>51.849997999999999</v>
      </c>
      <c r="H1059" s="79">
        <f t="shared" si="33"/>
        <v>-1.2757083015993978E-2</v>
      </c>
    </row>
    <row r="1060" spans="2:8">
      <c r="B1060" s="76">
        <v>44634</v>
      </c>
      <c r="C1060" s="77">
        <v>70.010002</v>
      </c>
      <c r="D1060" s="79">
        <f t="shared" si="32"/>
        <v>-5.8119196606506128E-2</v>
      </c>
      <c r="F1060" s="76">
        <v>44634</v>
      </c>
      <c r="G1060" s="78">
        <v>51.439999</v>
      </c>
      <c r="H1060" s="79">
        <f t="shared" si="33"/>
        <v>-7.9074062837957895E-3</v>
      </c>
    </row>
    <row r="1061" spans="2:8">
      <c r="B1061" s="76">
        <v>44635</v>
      </c>
      <c r="C1061" s="77">
        <v>73.360000999999997</v>
      </c>
      <c r="D1061" s="79">
        <f t="shared" si="32"/>
        <v>4.7850291448356147E-2</v>
      </c>
      <c r="F1061" s="76">
        <v>44635</v>
      </c>
      <c r="G1061" s="78">
        <v>52.52</v>
      </c>
      <c r="H1061" s="79">
        <f t="shared" si="33"/>
        <v>2.099535421841674E-2</v>
      </c>
    </row>
    <row r="1062" spans="2:8">
      <c r="B1062" s="76">
        <v>44636</v>
      </c>
      <c r="C1062" s="77">
        <v>75.269997000000004</v>
      </c>
      <c r="D1062" s="79">
        <f t="shared" si="32"/>
        <v>2.6035932033316177E-2</v>
      </c>
      <c r="F1062" s="76">
        <v>44636</v>
      </c>
      <c r="G1062" s="78">
        <v>53.709999000000003</v>
      </c>
      <c r="H1062" s="79">
        <f t="shared" si="33"/>
        <v>2.2658015993907085E-2</v>
      </c>
    </row>
    <row r="1063" spans="2:8">
      <c r="B1063" s="76">
        <v>44637</v>
      </c>
      <c r="C1063" s="77">
        <v>76.900002000000001</v>
      </c>
      <c r="D1063" s="79">
        <f t="shared" si="32"/>
        <v>2.1655441277618186E-2</v>
      </c>
      <c r="F1063" s="76">
        <v>44637</v>
      </c>
      <c r="G1063" s="78">
        <v>54.380001</v>
      </c>
      <c r="H1063" s="79">
        <f t="shared" si="33"/>
        <v>1.2474437022424756E-2</v>
      </c>
    </row>
    <row r="1064" spans="2:8">
      <c r="B1064" s="76">
        <v>44638</v>
      </c>
      <c r="C1064" s="77">
        <v>78.290001000000004</v>
      </c>
      <c r="D1064" s="79">
        <f t="shared" si="32"/>
        <v>1.8075409152785236E-2</v>
      </c>
      <c r="F1064" s="76">
        <v>44638</v>
      </c>
      <c r="G1064" s="78">
        <v>55</v>
      </c>
      <c r="H1064" s="79">
        <f t="shared" si="33"/>
        <v>1.1401231860955647E-2</v>
      </c>
    </row>
    <row r="1065" spans="2:8">
      <c r="B1065" s="76">
        <v>44641</v>
      </c>
      <c r="C1065" s="77">
        <v>76.360000999999997</v>
      </c>
      <c r="D1065" s="79">
        <f t="shared" si="32"/>
        <v>-2.4651934798161603E-2</v>
      </c>
      <c r="F1065" s="76">
        <v>44641</v>
      </c>
      <c r="G1065" s="78">
        <v>54.759998000000003</v>
      </c>
      <c r="H1065" s="79">
        <f t="shared" si="33"/>
        <v>-4.3636727272726716E-3</v>
      </c>
    </row>
    <row r="1066" spans="2:8">
      <c r="B1066" s="76">
        <v>44642</v>
      </c>
      <c r="C1066" s="77">
        <v>76.300003000000004</v>
      </c>
      <c r="D1066" s="79">
        <f t="shared" si="32"/>
        <v>-7.8572550044876395E-4</v>
      </c>
      <c r="F1066" s="76">
        <v>44642</v>
      </c>
      <c r="G1066" s="78">
        <v>55.369999</v>
      </c>
      <c r="H1066" s="79">
        <f t="shared" si="33"/>
        <v>1.1139536564628743E-2</v>
      </c>
    </row>
    <row r="1067" spans="2:8">
      <c r="B1067" s="76">
        <v>44643</v>
      </c>
      <c r="C1067" s="77">
        <v>73.489998</v>
      </c>
      <c r="D1067" s="79">
        <f t="shared" si="32"/>
        <v>-3.6828373388137402E-2</v>
      </c>
      <c r="F1067" s="76">
        <v>44643</v>
      </c>
      <c r="G1067" s="78">
        <v>54.669998</v>
      </c>
      <c r="H1067" s="79">
        <f t="shared" si="33"/>
        <v>-1.264224332025002E-2</v>
      </c>
    </row>
    <row r="1068" spans="2:8">
      <c r="B1068" s="76">
        <v>44644</v>
      </c>
      <c r="C1068" s="77">
        <v>69.529999000000004</v>
      </c>
      <c r="D1068" s="79">
        <f t="shared" si="32"/>
        <v>-5.3884870156072073E-2</v>
      </c>
      <c r="F1068" s="76">
        <v>44644</v>
      </c>
      <c r="G1068" s="78">
        <v>55.459999000000003</v>
      </c>
      <c r="H1068" s="79">
        <f t="shared" si="33"/>
        <v>1.4450357214207392E-2</v>
      </c>
    </row>
    <row r="1069" spans="2:8">
      <c r="B1069" s="76">
        <v>44645</v>
      </c>
      <c r="C1069" s="77">
        <v>67.959998999999996</v>
      </c>
      <c r="D1069" s="79">
        <f t="shared" si="32"/>
        <v>-2.2580181541495596E-2</v>
      </c>
      <c r="F1069" s="76">
        <v>44645</v>
      </c>
      <c r="G1069" s="78">
        <v>55.700001</v>
      </c>
      <c r="H1069" s="79">
        <f t="shared" si="33"/>
        <v>4.3274793423634383E-3</v>
      </c>
    </row>
    <row r="1070" spans="2:8">
      <c r="B1070" s="76">
        <v>44648</v>
      </c>
      <c r="C1070" s="77">
        <v>69.330001999999993</v>
      </c>
      <c r="D1070" s="79">
        <f t="shared" si="32"/>
        <v>2.0158961450249535E-2</v>
      </c>
      <c r="F1070" s="76">
        <v>44648</v>
      </c>
      <c r="G1070" s="78">
        <v>56.07</v>
      </c>
      <c r="H1070" s="79">
        <f t="shared" si="33"/>
        <v>6.6427108322673093E-3</v>
      </c>
    </row>
    <row r="1071" spans="2:8">
      <c r="B1071" s="76">
        <v>44649</v>
      </c>
      <c r="C1071" s="77">
        <v>71.849997999999999</v>
      </c>
      <c r="D1071" s="79">
        <f t="shared" si="32"/>
        <v>3.634784259778337E-2</v>
      </c>
      <c r="F1071" s="76">
        <v>44649</v>
      </c>
      <c r="G1071" s="78">
        <v>56.810001</v>
      </c>
      <c r="H1071" s="79">
        <f t="shared" si="33"/>
        <v>1.3197806313536641E-2</v>
      </c>
    </row>
    <row r="1072" spans="2:8">
      <c r="B1072" s="76">
        <v>44650</v>
      </c>
      <c r="C1072" s="77">
        <v>67.949996999999996</v>
      </c>
      <c r="D1072" s="79">
        <f t="shared" si="32"/>
        <v>-5.4279764906882855E-2</v>
      </c>
      <c r="F1072" s="76">
        <v>44650</v>
      </c>
      <c r="G1072" s="78">
        <v>56.380001</v>
      </c>
      <c r="H1072" s="79">
        <f t="shared" si="33"/>
        <v>-7.5690898157174773E-3</v>
      </c>
    </row>
    <row r="1073" spans="2:8">
      <c r="B1073" s="76">
        <v>44651</v>
      </c>
      <c r="C1073" s="77">
        <v>64.540001000000004</v>
      </c>
      <c r="D1073" s="79">
        <f t="shared" si="32"/>
        <v>-5.0183902142041194E-2</v>
      </c>
      <c r="F1073" s="76">
        <v>44651</v>
      </c>
      <c r="G1073" s="78">
        <v>55.580002</v>
      </c>
      <c r="H1073" s="79">
        <f t="shared" si="33"/>
        <v>-1.4189410887027116E-2</v>
      </c>
    </row>
    <row r="1074" spans="2:8">
      <c r="B1074" s="76">
        <v>44652</v>
      </c>
      <c r="C1074" s="77">
        <v>64.199996999999996</v>
      </c>
      <c r="D1074" s="79">
        <f t="shared" si="32"/>
        <v>-5.2681127166392125E-3</v>
      </c>
      <c r="F1074" s="76">
        <v>44652</v>
      </c>
      <c r="G1074" s="78">
        <v>55.759998000000003</v>
      </c>
      <c r="H1074" s="79">
        <f t="shared" si="33"/>
        <v>3.2385029421194101E-3</v>
      </c>
    </row>
    <row r="1075" spans="2:8">
      <c r="B1075" s="76">
        <v>44655</v>
      </c>
      <c r="C1075" s="77">
        <v>64.919998000000007</v>
      </c>
      <c r="D1075" s="79">
        <f t="shared" si="32"/>
        <v>1.1214969371416179E-2</v>
      </c>
      <c r="F1075" s="76">
        <v>44655</v>
      </c>
      <c r="G1075" s="78">
        <v>56.150002000000001</v>
      </c>
      <c r="H1075" s="79">
        <f t="shared" si="33"/>
        <v>6.9943331059659931E-3</v>
      </c>
    </row>
    <row r="1076" spans="2:8">
      <c r="B1076" s="76">
        <v>44656</v>
      </c>
      <c r="C1076" s="77">
        <v>62.639999000000003</v>
      </c>
      <c r="D1076" s="79">
        <f t="shared" si="32"/>
        <v>-3.5120133552684389E-2</v>
      </c>
      <c r="F1076" s="76">
        <v>44656</v>
      </c>
      <c r="G1076" s="78">
        <v>55.470001000000003</v>
      </c>
      <c r="H1076" s="79">
        <f t="shared" si="33"/>
        <v>-1.2110435899895376E-2</v>
      </c>
    </row>
    <row r="1077" spans="2:8">
      <c r="B1077" s="76">
        <v>44657</v>
      </c>
      <c r="C1077" s="77">
        <v>59.939999</v>
      </c>
      <c r="D1077" s="79">
        <f t="shared" si="32"/>
        <v>-4.3103448963975922E-2</v>
      </c>
      <c r="F1077" s="76">
        <v>44657</v>
      </c>
      <c r="G1077" s="78">
        <v>54.900002000000001</v>
      </c>
      <c r="H1077" s="79">
        <f t="shared" si="33"/>
        <v>-1.0275806557133518E-2</v>
      </c>
    </row>
    <row r="1078" spans="2:8">
      <c r="B1078" s="76">
        <v>44658</v>
      </c>
      <c r="C1078" s="77">
        <v>59.869999</v>
      </c>
      <c r="D1078" s="79">
        <f t="shared" si="32"/>
        <v>-1.1678345206512313E-3</v>
      </c>
      <c r="F1078" s="76">
        <v>44658</v>
      </c>
      <c r="G1078" s="78">
        <v>55.139999000000003</v>
      </c>
      <c r="H1078" s="79">
        <f t="shared" si="33"/>
        <v>4.3715298953905767E-3</v>
      </c>
    </row>
    <row r="1079" spans="2:8">
      <c r="B1079" s="76">
        <v>44659</v>
      </c>
      <c r="C1079" s="77">
        <v>59.860000999999997</v>
      </c>
      <c r="D1079" s="79">
        <f t="shared" si="32"/>
        <v>-1.669951589610526E-4</v>
      </c>
      <c r="F1079" s="76">
        <v>44659</v>
      </c>
      <c r="G1079" s="78">
        <v>54.98</v>
      </c>
      <c r="H1079" s="79">
        <f t="shared" si="33"/>
        <v>-2.9016866685109338E-3</v>
      </c>
    </row>
    <row r="1080" spans="2:8">
      <c r="B1080" s="76">
        <v>44662</v>
      </c>
      <c r="C1080" s="77">
        <v>60.759998000000003</v>
      </c>
      <c r="D1080" s="79">
        <f t="shared" si="32"/>
        <v>1.5035031489558549E-2</v>
      </c>
      <c r="F1080" s="76">
        <v>44662</v>
      </c>
      <c r="G1080" s="78">
        <v>54.049999</v>
      </c>
      <c r="H1080" s="79">
        <f t="shared" si="33"/>
        <v>-1.6915260094579797E-2</v>
      </c>
    </row>
    <row r="1081" spans="2:8">
      <c r="B1081" s="76">
        <v>44663</v>
      </c>
      <c r="C1081" s="77">
        <v>60.330002</v>
      </c>
      <c r="D1081" s="79">
        <f t="shared" si="32"/>
        <v>-7.0769587582936175E-3</v>
      </c>
      <c r="F1081" s="76">
        <v>44663</v>
      </c>
      <c r="G1081" s="78">
        <v>53.93</v>
      </c>
      <c r="H1081" s="79">
        <f t="shared" si="33"/>
        <v>-2.2201480521766518E-3</v>
      </c>
    </row>
    <row r="1082" spans="2:8">
      <c r="B1082" s="76">
        <v>44664</v>
      </c>
      <c r="C1082" s="77">
        <v>62.110000999999997</v>
      </c>
      <c r="D1082" s="79">
        <f t="shared" si="32"/>
        <v>2.9504374954272279E-2</v>
      </c>
      <c r="F1082" s="76">
        <v>44664</v>
      </c>
      <c r="G1082" s="78">
        <v>54.580002</v>
      </c>
      <c r="H1082" s="79">
        <f t="shared" si="33"/>
        <v>1.2052697941776389E-2</v>
      </c>
    </row>
    <row r="1083" spans="2:8">
      <c r="B1083" s="76">
        <v>44665</v>
      </c>
      <c r="C1083" s="77">
        <v>61.16</v>
      </c>
      <c r="D1083" s="79">
        <f t="shared" si="32"/>
        <v>-1.529545942206635E-2</v>
      </c>
      <c r="F1083" s="76">
        <v>44665</v>
      </c>
      <c r="G1083" s="78">
        <v>53.93</v>
      </c>
      <c r="H1083" s="79">
        <f t="shared" si="33"/>
        <v>-1.1909160428392815E-2</v>
      </c>
    </row>
    <row r="1084" spans="2:8">
      <c r="B1084" s="76">
        <v>44669</v>
      </c>
      <c r="C1084" s="77">
        <v>60.799999</v>
      </c>
      <c r="D1084" s="79">
        <f t="shared" si="32"/>
        <v>-5.8862164813603159E-3</v>
      </c>
      <c r="F1084" s="76">
        <v>44669</v>
      </c>
      <c r="G1084" s="78">
        <v>53.93</v>
      </c>
      <c r="H1084" s="79">
        <f t="shared" si="33"/>
        <v>0</v>
      </c>
    </row>
    <row r="1085" spans="2:8">
      <c r="B1085" s="76">
        <v>44670</v>
      </c>
      <c r="C1085" s="77">
        <v>63.630001</v>
      </c>
      <c r="D1085" s="79">
        <f t="shared" si="32"/>
        <v>4.6546086291876426E-2</v>
      </c>
      <c r="F1085" s="76">
        <v>44670</v>
      </c>
      <c r="G1085" s="78">
        <v>54.799999</v>
      </c>
      <c r="H1085" s="79">
        <f t="shared" si="33"/>
        <v>1.613200445021324E-2</v>
      </c>
    </row>
    <row r="1086" spans="2:8">
      <c r="B1086" s="76">
        <v>44671</v>
      </c>
      <c r="C1086" s="77">
        <v>64.989998</v>
      </c>
      <c r="D1086" s="79">
        <f t="shared" si="32"/>
        <v>2.1373518444546307E-2</v>
      </c>
      <c r="F1086" s="76">
        <v>44671</v>
      </c>
      <c r="G1086" s="78">
        <v>54.810001</v>
      </c>
      <c r="H1086" s="79">
        <f t="shared" si="33"/>
        <v>1.8251825150580872E-4</v>
      </c>
    </row>
    <row r="1087" spans="2:8">
      <c r="B1087" s="76">
        <v>44672</v>
      </c>
      <c r="C1087" s="77">
        <v>62.389999000000003</v>
      </c>
      <c r="D1087" s="79">
        <f t="shared" si="32"/>
        <v>-4.0006140637210003E-2</v>
      </c>
      <c r="F1087" s="76">
        <v>44672</v>
      </c>
      <c r="G1087" s="78">
        <v>54</v>
      </c>
      <c r="H1087" s="79">
        <f t="shared" si="33"/>
        <v>-1.4778343098369945E-2</v>
      </c>
    </row>
    <row r="1088" spans="2:8">
      <c r="B1088" s="76">
        <v>44673</v>
      </c>
      <c r="C1088" s="77">
        <v>61.41</v>
      </c>
      <c r="D1088" s="79">
        <f t="shared" si="32"/>
        <v>-1.5707629679558202E-2</v>
      </c>
      <c r="F1088" s="76">
        <v>44673</v>
      </c>
      <c r="G1088" s="78">
        <v>52.52</v>
      </c>
      <c r="H1088" s="79">
        <f t="shared" si="33"/>
        <v>-2.7407407407407349E-2</v>
      </c>
    </row>
    <row r="1089" spans="2:8">
      <c r="B1089" s="76">
        <v>44676</v>
      </c>
      <c r="C1089" s="77">
        <v>65.849997999999999</v>
      </c>
      <c r="D1089" s="79">
        <f t="shared" si="32"/>
        <v>7.2300895619605982E-2</v>
      </c>
      <c r="F1089" s="76">
        <v>44676</v>
      </c>
      <c r="G1089" s="78">
        <v>52.810001</v>
      </c>
      <c r="H1089" s="79">
        <f t="shared" si="33"/>
        <v>5.5217250571210318E-3</v>
      </c>
    </row>
    <row r="1090" spans="2:8">
      <c r="B1090" s="76">
        <v>44677</v>
      </c>
      <c r="C1090" s="77">
        <v>61.360000999999997</v>
      </c>
      <c r="D1090" s="79">
        <f t="shared" si="32"/>
        <v>-6.8185226064851251E-2</v>
      </c>
      <c r="F1090" s="76">
        <v>44677</v>
      </c>
      <c r="G1090" s="78">
        <v>51.299999</v>
      </c>
      <c r="H1090" s="79">
        <f t="shared" si="33"/>
        <v>-2.8593106824595593E-2</v>
      </c>
    </row>
    <row r="1091" spans="2:8">
      <c r="B1091" s="76">
        <v>44678</v>
      </c>
      <c r="C1091" s="77">
        <v>60.419998</v>
      </c>
      <c r="D1091" s="79">
        <f t="shared" si="32"/>
        <v>-1.5319474978496126E-2</v>
      </c>
      <c r="F1091" s="76">
        <v>44678</v>
      </c>
      <c r="G1091" s="78">
        <v>51.41</v>
      </c>
      <c r="H1091" s="79">
        <f t="shared" si="33"/>
        <v>2.1442690476465099E-3</v>
      </c>
    </row>
    <row r="1092" spans="2:8">
      <c r="B1092" s="76">
        <v>44679</v>
      </c>
      <c r="C1092" s="77">
        <v>63.970001000000003</v>
      </c>
      <c r="D1092" s="79">
        <f t="shared" si="32"/>
        <v>5.8755430610904748E-2</v>
      </c>
      <c r="F1092" s="76">
        <v>44679</v>
      </c>
      <c r="G1092" s="78">
        <v>52.650002000000001</v>
      </c>
      <c r="H1092" s="79">
        <f t="shared" si="33"/>
        <v>2.411985994942626E-2</v>
      </c>
    </row>
    <row r="1093" spans="2:8">
      <c r="B1093" s="76">
        <v>44680</v>
      </c>
      <c r="C1093" s="77">
        <v>61.57</v>
      </c>
      <c r="D1093" s="79">
        <f t="shared" si="32"/>
        <v>-3.7517601414450548E-2</v>
      </c>
      <c r="F1093" s="76">
        <v>44680</v>
      </c>
      <c r="G1093" s="78">
        <v>50.810001</v>
      </c>
      <c r="H1093" s="79">
        <f t="shared" si="33"/>
        <v>-3.4947785946902732E-2</v>
      </c>
    </row>
    <row r="1094" spans="2:8">
      <c r="B1094" s="76">
        <v>44683</v>
      </c>
      <c r="C1094" s="77">
        <v>63.279998999999997</v>
      </c>
      <c r="D1094" s="79">
        <f t="shared" ref="D1094:D1157" si="34">(C1094-C1093)/C1093</f>
        <v>2.777324995939575E-2</v>
      </c>
      <c r="F1094" s="76">
        <v>44683</v>
      </c>
      <c r="G1094" s="78">
        <v>51.09</v>
      </c>
      <c r="H1094" s="79">
        <f t="shared" ref="H1094:H1157" si="35">(G1094-G1093)/G1093</f>
        <v>5.5107064453709352E-3</v>
      </c>
    </row>
    <row r="1095" spans="2:8">
      <c r="B1095" s="76">
        <v>44684</v>
      </c>
      <c r="C1095" s="77">
        <v>64.830001999999993</v>
      </c>
      <c r="D1095" s="79">
        <f t="shared" si="34"/>
        <v>2.449435879415859E-2</v>
      </c>
      <c r="F1095" s="76">
        <v>44684</v>
      </c>
      <c r="G1095" s="78">
        <v>51.369999</v>
      </c>
      <c r="H1095" s="79">
        <f t="shared" si="35"/>
        <v>5.480504991191946E-3</v>
      </c>
    </row>
    <row r="1096" spans="2:8">
      <c r="B1096" s="76">
        <v>44685</v>
      </c>
      <c r="C1096" s="77">
        <v>68.610000999999997</v>
      </c>
      <c r="D1096" s="79">
        <f t="shared" si="34"/>
        <v>5.8306322433863321E-2</v>
      </c>
      <c r="F1096" s="76">
        <v>44685</v>
      </c>
      <c r="G1096" s="78">
        <v>52.849997999999999</v>
      </c>
      <c r="H1096" s="79">
        <f t="shared" si="35"/>
        <v>2.8810570932656616E-2</v>
      </c>
    </row>
    <row r="1097" spans="2:8">
      <c r="B1097" s="76">
        <v>44686</v>
      </c>
      <c r="C1097" s="77">
        <v>65.910004000000001</v>
      </c>
      <c r="D1097" s="79">
        <f t="shared" si="34"/>
        <v>-3.9352819715014961E-2</v>
      </c>
      <c r="F1097" s="76">
        <v>44686</v>
      </c>
      <c r="G1097" s="78">
        <v>51</v>
      </c>
      <c r="H1097" s="79">
        <f t="shared" si="35"/>
        <v>-3.500469385069796E-2</v>
      </c>
    </row>
    <row r="1098" spans="2:8">
      <c r="B1098" s="76">
        <v>44687</v>
      </c>
      <c r="C1098" s="77">
        <v>65.089995999999999</v>
      </c>
      <c r="D1098" s="79">
        <f t="shared" si="34"/>
        <v>-1.2441328330066576E-2</v>
      </c>
      <c r="F1098" s="76">
        <v>44687</v>
      </c>
      <c r="G1098" s="78">
        <v>50.669998</v>
      </c>
      <c r="H1098" s="79">
        <f t="shared" si="35"/>
        <v>-6.4706274509803994E-3</v>
      </c>
    </row>
    <row r="1099" spans="2:8">
      <c r="B1099" s="76">
        <v>44690</v>
      </c>
      <c r="C1099" s="77">
        <v>64.75</v>
      </c>
      <c r="D1099" s="79">
        <f t="shared" si="34"/>
        <v>-5.2234755092011266E-3</v>
      </c>
      <c r="F1099" s="76">
        <v>44690</v>
      </c>
      <c r="G1099" s="78">
        <v>49.049999</v>
      </c>
      <c r="H1099" s="79">
        <f t="shared" si="35"/>
        <v>-3.197156234346013E-2</v>
      </c>
    </row>
    <row r="1100" spans="2:8">
      <c r="B1100" s="76">
        <v>44691</v>
      </c>
      <c r="C1100" s="77">
        <v>65.129997000000003</v>
      </c>
      <c r="D1100" s="79">
        <f t="shared" si="34"/>
        <v>5.8686795366795835E-3</v>
      </c>
      <c r="F1100" s="76">
        <v>44691</v>
      </c>
      <c r="G1100" s="78">
        <v>49.18</v>
      </c>
      <c r="H1100" s="79">
        <f t="shared" si="35"/>
        <v>2.6503772201911776E-3</v>
      </c>
    </row>
    <row r="1101" spans="2:8">
      <c r="B1101" s="76">
        <v>44692</v>
      </c>
      <c r="C1101" s="77">
        <v>62.990001999999997</v>
      </c>
      <c r="D1101" s="79">
        <f t="shared" si="34"/>
        <v>-3.2857286942605049E-2</v>
      </c>
      <c r="F1101" s="76">
        <v>44692</v>
      </c>
      <c r="G1101" s="78">
        <v>48.369999</v>
      </c>
      <c r="H1101" s="79">
        <f t="shared" si="35"/>
        <v>-1.6470130134200889E-2</v>
      </c>
    </row>
    <row r="1102" spans="2:8">
      <c r="B1102" s="76">
        <v>44693</v>
      </c>
      <c r="C1102" s="77">
        <v>64</v>
      </c>
      <c r="D1102" s="79">
        <f t="shared" si="34"/>
        <v>1.6034258897150107E-2</v>
      </c>
      <c r="F1102" s="76">
        <v>44693</v>
      </c>
      <c r="G1102" s="78">
        <v>48.349997999999999</v>
      </c>
      <c r="H1102" s="79">
        <f t="shared" si="35"/>
        <v>-4.1350011191855929E-4</v>
      </c>
    </row>
    <row r="1103" spans="2:8">
      <c r="B1103" s="76">
        <v>44694</v>
      </c>
      <c r="C1103" s="77">
        <v>66.889999000000003</v>
      </c>
      <c r="D1103" s="79">
        <f t="shared" si="34"/>
        <v>4.5156234375000048E-2</v>
      </c>
      <c r="F1103" s="76">
        <v>44694</v>
      </c>
      <c r="G1103" s="78">
        <v>49.509998000000003</v>
      </c>
      <c r="H1103" s="79">
        <f t="shared" si="35"/>
        <v>2.3991727983111884E-2</v>
      </c>
    </row>
    <row r="1104" spans="2:8">
      <c r="B1104" s="76">
        <v>44697</v>
      </c>
      <c r="C1104" s="77">
        <v>66.720000999999996</v>
      </c>
      <c r="D1104" s="79">
        <f t="shared" si="34"/>
        <v>-2.5414561599859907E-3</v>
      </c>
      <c r="F1104" s="76">
        <v>44697</v>
      </c>
      <c r="G1104" s="78">
        <v>49.32</v>
      </c>
      <c r="H1104" s="79">
        <f t="shared" si="35"/>
        <v>-3.8375683230688629E-3</v>
      </c>
    </row>
    <row r="1105" spans="2:8">
      <c r="B1105" s="76">
        <v>44698</v>
      </c>
      <c r="C1105" s="77">
        <v>68.360000999999997</v>
      </c>
      <c r="D1105" s="79">
        <f t="shared" si="34"/>
        <v>2.4580335363004576E-2</v>
      </c>
      <c r="F1105" s="76">
        <v>44698</v>
      </c>
      <c r="G1105" s="78">
        <v>50.330002</v>
      </c>
      <c r="H1105" s="79">
        <f t="shared" si="35"/>
        <v>2.0478548256285485E-2</v>
      </c>
    </row>
    <row r="1106" spans="2:8">
      <c r="B1106" s="76">
        <v>44699</v>
      </c>
      <c r="C1106" s="77">
        <v>62.990001999999997</v>
      </c>
      <c r="D1106" s="79">
        <f t="shared" si="34"/>
        <v>-7.8554694579363746E-2</v>
      </c>
      <c r="F1106" s="76">
        <v>44699</v>
      </c>
      <c r="G1106" s="78">
        <v>48.349997999999999</v>
      </c>
      <c r="H1106" s="79">
        <f t="shared" si="35"/>
        <v>-3.9340431577968168E-2</v>
      </c>
    </row>
    <row r="1107" spans="2:8">
      <c r="B1107" s="76">
        <v>44700</v>
      </c>
      <c r="C1107" s="77">
        <v>62.709999000000003</v>
      </c>
      <c r="D1107" s="79">
        <f t="shared" si="34"/>
        <v>-4.4451975092808151E-3</v>
      </c>
      <c r="F1107" s="76">
        <v>44700</v>
      </c>
      <c r="G1107" s="78">
        <v>48.080002</v>
      </c>
      <c r="H1107" s="79">
        <f t="shared" si="35"/>
        <v>-5.5841987832139931E-3</v>
      </c>
    </row>
    <row r="1108" spans="2:8">
      <c r="B1108" s="76">
        <v>44701</v>
      </c>
      <c r="C1108" s="77">
        <v>60.82</v>
      </c>
      <c r="D1108" s="79">
        <f t="shared" si="34"/>
        <v>-3.0138718388434401E-2</v>
      </c>
      <c r="F1108" s="76">
        <v>44701</v>
      </c>
      <c r="G1108" s="78">
        <v>48.049999</v>
      </c>
      <c r="H1108" s="79">
        <f t="shared" si="35"/>
        <v>-6.2402243660473783E-4</v>
      </c>
    </row>
    <row r="1109" spans="2:8">
      <c r="B1109" s="76">
        <v>44704</v>
      </c>
      <c r="C1109" s="77">
        <v>62.5</v>
      </c>
      <c r="D1109" s="79">
        <f t="shared" si="34"/>
        <v>2.762249260111805E-2</v>
      </c>
      <c r="F1109" s="76">
        <v>44704</v>
      </c>
      <c r="G1109" s="78">
        <v>48.919998</v>
      </c>
      <c r="H1109" s="79">
        <f t="shared" si="35"/>
        <v>1.8106119003249096E-2</v>
      </c>
    </row>
    <row r="1110" spans="2:8">
      <c r="B1110" s="76">
        <v>44705</v>
      </c>
      <c r="C1110" s="77">
        <v>59.040000999999997</v>
      </c>
      <c r="D1110" s="79">
        <f t="shared" si="34"/>
        <v>-5.5359984000000056E-2</v>
      </c>
      <c r="F1110" s="76">
        <v>44705</v>
      </c>
      <c r="G1110" s="78">
        <v>48.549999</v>
      </c>
      <c r="H1110" s="79">
        <f t="shared" si="35"/>
        <v>-7.5633486330068935E-3</v>
      </c>
    </row>
    <row r="1111" spans="2:8">
      <c r="B1111" s="76">
        <v>44706</v>
      </c>
      <c r="C1111" s="77">
        <v>62.240001999999997</v>
      </c>
      <c r="D1111" s="79">
        <f t="shared" si="34"/>
        <v>5.4200558025058306E-2</v>
      </c>
      <c r="F1111" s="76">
        <v>44706</v>
      </c>
      <c r="G1111" s="78">
        <v>49.040000999999997</v>
      </c>
      <c r="H1111" s="79">
        <f t="shared" si="35"/>
        <v>1.0092729353094259E-2</v>
      </c>
    </row>
    <row r="1112" spans="2:8">
      <c r="B1112" s="76">
        <v>44707</v>
      </c>
      <c r="C1112" s="77">
        <v>66.269997000000004</v>
      </c>
      <c r="D1112" s="79">
        <f t="shared" si="34"/>
        <v>6.4749274911655802E-2</v>
      </c>
      <c r="F1112" s="76">
        <v>44707</v>
      </c>
      <c r="G1112" s="78">
        <v>50.029998999999997</v>
      </c>
      <c r="H1112" s="79">
        <f t="shared" si="35"/>
        <v>2.0187560762896396E-2</v>
      </c>
    </row>
    <row r="1113" spans="2:8">
      <c r="B1113" s="76">
        <v>44708</v>
      </c>
      <c r="C1113" s="77">
        <v>66.760002</v>
      </c>
      <c r="D1113" s="79">
        <f t="shared" si="34"/>
        <v>7.394070049527789E-3</v>
      </c>
      <c r="F1113" s="76">
        <v>44708</v>
      </c>
      <c r="G1113" s="78">
        <v>51.220001000000003</v>
      </c>
      <c r="H1113" s="79">
        <f t="shared" si="35"/>
        <v>2.3785769014306936E-2</v>
      </c>
    </row>
    <row r="1114" spans="2:8">
      <c r="B1114" s="76">
        <v>44712</v>
      </c>
      <c r="C1114" s="77">
        <v>65.089995999999999</v>
      </c>
      <c r="D1114" s="79">
        <f t="shared" si="34"/>
        <v>-2.5015068154132181E-2</v>
      </c>
      <c r="F1114" s="76">
        <v>44712</v>
      </c>
      <c r="G1114" s="78">
        <v>50.939999</v>
      </c>
      <c r="H1114" s="79">
        <f t="shared" si="35"/>
        <v>-5.4666535441887862E-3</v>
      </c>
    </row>
    <row r="1115" spans="2:8">
      <c r="B1115" s="76">
        <v>44713</v>
      </c>
      <c r="C1115" s="77">
        <v>63.810001</v>
      </c>
      <c r="D1115" s="79">
        <f t="shared" si="34"/>
        <v>-1.9665003512982233E-2</v>
      </c>
      <c r="F1115" s="76">
        <v>44713</v>
      </c>
      <c r="G1115" s="78">
        <v>50.549999</v>
      </c>
      <c r="H1115" s="79">
        <f t="shared" si="35"/>
        <v>-7.6560661102486587E-3</v>
      </c>
    </row>
    <row r="1116" spans="2:8">
      <c r="B1116" s="76">
        <v>44714</v>
      </c>
      <c r="C1116" s="77">
        <v>65.870002999999997</v>
      </c>
      <c r="D1116" s="79">
        <f t="shared" si="34"/>
        <v>3.228337200621572E-2</v>
      </c>
      <c r="F1116" s="76">
        <v>44714</v>
      </c>
      <c r="G1116" s="78">
        <v>51.509998000000003</v>
      </c>
      <c r="H1116" s="79">
        <f t="shared" si="35"/>
        <v>1.8991078516144053E-2</v>
      </c>
    </row>
    <row r="1117" spans="2:8">
      <c r="B1117" s="76">
        <v>44715</v>
      </c>
      <c r="C1117" s="77">
        <v>65.800003000000004</v>
      </c>
      <c r="D1117" s="79">
        <f t="shared" si="34"/>
        <v>-1.0626992077105747E-3</v>
      </c>
      <c r="F1117" s="76">
        <v>44715</v>
      </c>
      <c r="G1117" s="78">
        <v>50.669998</v>
      </c>
      <c r="H1117" s="79">
        <f t="shared" si="35"/>
        <v>-1.6307513737430224E-2</v>
      </c>
    </row>
    <row r="1118" spans="2:8">
      <c r="B1118" s="76">
        <v>44718</v>
      </c>
      <c r="C1118" s="77">
        <v>66.569999999999993</v>
      </c>
      <c r="D1118" s="79">
        <f t="shared" si="34"/>
        <v>1.1702081533339586E-2</v>
      </c>
      <c r="F1118" s="76">
        <v>44718</v>
      </c>
      <c r="G1118" s="78">
        <v>50.860000999999997</v>
      </c>
      <c r="H1118" s="79">
        <f t="shared" si="35"/>
        <v>3.7498126603438442E-3</v>
      </c>
    </row>
    <row r="1119" spans="2:8">
      <c r="B1119" s="76">
        <v>44719</v>
      </c>
      <c r="C1119" s="77">
        <v>67.660004000000001</v>
      </c>
      <c r="D1119" s="79">
        <f t="shared" si="34"/>
        <v>1.6373802012918846E-2</v>
      </c>
      <c r="F1119" s="76">
        <v>44719</v>
      </c>
      <c r="G1119" s="78">
        <v>51.360000999999997</v>
      </c>
      <c r="H1119" s="79">
        <f t="shared" si="35"/>
        <v>9.8309081826404212E-3</v>
      </c>
    </row>
    <row r="1120" spans="2:8">
      <c r="B1120" s="76">
        <v>44720</v>
      </c>
      <c r="C1120" s="77">
        <v>65.519997000000004</v>
      </c>
      <c r="D1120" s="79">
        <f t="shared" si="34"/>
        <v>-3.1628833483367765E-2</v>
      </c>
      <c r="F1120" s="76">
        <v>44720</v>
      </c>
      <c r="G1120" s="78">
        <v>50.75</v>
      </c>
      <c r="H1120" s="79">
        <f t="shared" si="35"/>
        <v>-1.1876966279654023E-2</v>
      </c>
    </row>
    <row r="1121" spans="2:8">
      <c r="B1121" s="76">
        <v>44721</v>
      </c>
      <c r="C1121" s="77">
        <v>65.169998000000007</v>
      </c>
      <c r="D1121" s="79">
        <f t="shared" si="34"/>
        <v>-5.3418653239559336E-3</v>
      </c>
      <c r="F1121" s="76">
        <v>44721</v>
      </c>
      <c r="G1121" s="78">
        <v>49.59</v>
      </c>
      <c r="H1121" s="79">
        <f t="shared" si="35"/>
        <v>-2.2857142857142791E-2</v>
      </c>
    </row>
    <row r="1122" spans="2:8">
      <c r="B1122" s="76">
        <v>44722</v>
      </c>
      <c r="C1122" s="77">
        <v>60.169998</v>
      </c>
      <c r="D1122" s="79">
        <f t="shared" si="34"/>
        <v>-7.6722420645156483E-2</v>
      </c>
      <c r="F1122" s="76">
        <v>44722</v>
      </c>
      <c r="G1122" s="78">
        <v>48.16</v>
      </c>
      <c r="H1122" s="79">
        <f t="shared" si="35"/>
        <v>-2.883645896350084E-2</v>
      </c>
    </row>
    <row r="1123" spans="2:8">
      <c r="B1123" s="76">
        <v>44725</v>
      </c>
      <c r="C1123" s="77">
        <v>55.470001000000003</v>
      </c>
      <c r="D1123" s="79">
        <f t="shared" si="34"/>
        <v>-7.8111968692436987E-2</v>
      </c>
      <c r="F1123" s="76">
        <v>44725</v>
      </c>
      <c r="G1123" s="78">
        <v>46.290000999999997</v>
      </c>
      <c r="H1123" s="79">
        <f t="shared" si="35"/>
        <v>-3.882888289036545E-2</v>
      </c>
    </row>
    <row r="1124" spans="2:8">
      <c r="B1124" s="76">
        <v>44726</v>
      </c>
      <c r="C1124" s="77">
        <v>55.099997999999999</v>
      </c>
      <c r="D1124" s="79">
        <f t="shared" si="34"/>
        <v>-6.6703261822548742E-3</v>
      </c>
      <c r="F1124" s="76">
        <v>44726</v>
      </c>
      <c r="G1124" s="78">
        <v>46.099997999999999</v>
      </c>
      <c r="H1124" s="79">
        <f t="shared" si="35"/>
        <v>-4.104622940059934E-3</v>
      </c>
    </row>
    <row r="1125" spans="2:8">
      <c r="B1125" s="76">
        <v>44727</v>
      </c>
      <c r="C1125" s="77">
        <v>55.459999000000003</v>
      </c>
      <c r="D1125" s="79">
        <f t="shared" si="34"/>
        <v>6.5335937035787914E-3</v>
      </c>
      <c r="F1125" s="76">
        <v>44727</v>
      </c>
      <c r="G1125" s="78">
        <v>46.75</v>
      </c>
      <c r="H1125" s="79">
        <f t="shared" si="35"/>
        <v>1.4099827075914421E-2</v>
      </c>
    </row>
    <row r="1126" spans="2:8">
      <c r="B1126" s="76">
        <v>44728</v>
      </c>
      <c r="C1126" s="77">
        <v>50.48</v>
      </c>
      <c r="D1126" s="79">
        <f t="shared" si="34"/>
        <v>-8.97944300359617E-2</v>
      </c>
      <c r="F1126" s="76">
        <v>44728</v>
      </c>
      <c r="G1126" s="78">
        <v>45.189999</v>
      </c>
      <c r="H1126" s="79">
        <f t="shared" si="35"/>
        <v>-3.3369005347593579E-2</v>
      </c>
    </row>
    <row r="1127" spans="2:8">
      <c r="B1127" s="76">
        <v>44729</v>
      </c>
      <c r="C1127" s="77">
        <v>50.48</v>
      </c>
      <c r="D1127" s="79">
        <f t="shared" si="34"/>
        <v>0</v>
      </c>
      <c r="F1127" s="76">
        <v>44729</v>
      </c>
      <c r="G1127" s="78">
        <v>45.310001</v>
      </c>
      <c r="H1127" s="79">
        <f t="shared" si="35"/>
        <v>2.655499062967439E-3</v>
      </c>
    </row>
    <row r="1128" spans="2:8">
      <c r="B1128" s="76">
        <v>44733</v>
      </c>
      <c r="C1128" s="77">
        <v>50.900002000000001</v>
      </c>
      <c r="D1128" s="79">
        <f t="shared" si="34"/>
        <v>8.3201664025357325E-3</v>
      </c>
      <c r="F1128" s="76">
        <v>44733</v>
      </c>
      <c r="G1128" s="78">
        <v>46.16</v>
      </c>
      <c r="H1128" s="79">
        <f t="shared" si="35"/>
        <v>1.875963322093056E-2</v>
      </c>
    </row>
    <row r="1129" spans="2:8">
      <c r="B1129" s="76">
        <v>44734</v>
      </c>
      <c r="C1129" s="77">
        <v>50.02</v>
      </c>
      <c r="D1129" s="79">
        <f t="shared" si="34"/>
        <v>-1.7288840185114285E-2</v>
      </c>
      <c r="F1129" s="76">
        <v>44734</v>
      </c>
      <c r="G1129" s="78">
        <v>46.09</v>
      </c>
      <c r="H1129" s="79">
        <f t="shared" si="35"/>
        <v>-1.5164644714036652E-3</v>
      </c>
    </row>
    <row r="1130" spans="2:8">
      <c r="B1130" s="76">
        <v>44735</v>
      </c>
      <c r="C1130" s="77">
        <v>51.119999</v>
      </c>
      <c r="D1130" s="79">
        <f t="shared" si="34"/>
        <v>2.1991183526589301E-2</v>
      </c>
      <c r="F1130" s="76">
        <v>44735</v>
      </c>
      <c r="G1130" s="78">
        <v>46.540000999999997</v>
      </c>
      <c r="H1130" s="79">
        <f t="shared" si="35"/>
        <v>9.7635278802341765E-3</v>
      </c>
    </row>
    <row r="1131" spans="2:8">
      <c r="B1131" s="76">
        <v>44736</v>
      </c>
      <c r="C1131" s="77">
        <v>52.799999</v>
      </c>
      <c r="D1131" s="79">
        <f t="shared" si="34"/>
        <v>3.2863850408134783E-2</v>
      </c>
      <c r="F1131" s="76">
        <v>44736</v>
      </c>
      <c r="G1131" s="78">
        <v>48</v>
      </c>
      <c r="H1131" s="79">
        <f t="shared" si="35"/>
        <v>3.1370841612143575E-2</v>
      </c>
    </row>
    <row r="1132" spans="2:8">
      <c r="B1132" s="76">
        <v>44739</v>
      </c>
      <c r="C1132" s="77">
        <v>53.439999</v>
      </c>
      <c r="D1132" s="79">
        <f t="shared" si="34"/>
        <v>1.2121212350780548E-2</v>
      </c>
      <c r="F1132" s="76">
        <v>44739</v>
      </c>
      <c r="G1132" s="78">
        <v>47.880001</v>
      </c>
      <c r="H1132" s="79">
        <f t="shared" si="35"/>
        <v>-2.499979166666666E-3</v>
      </c>
    </row>
    <row r="1133" spans="2:8">
      <c r="B1133" s="76">
        <v>44740</v>
      </c>
      <c r="C1133" s="77">
        <v>52.650002000000001</v>
      </c>
      <c r="D1133" s="79">
        <f t="shared" si="34"/>
        <v>-1.4782878270637685E-2</v>
      </c>
      <c r="F1133" s="76">
        <v>44740</v>
      </c>
      <c r="G1133" s="78">
        <v>46.91</v>
      </c>
      <c r="H1133" s="79">
        <f t="shared" si="35"/>
        <v>-2.0259001247723521E-2</v>
      </c>
    </row>
    <row r="1134" spans="2:8">
      <c r="B1134" s="76">
        <v>44741</v>
      </c>
      <c r="C1134" s="77">
        <v>52.669998</v>
      </c>
      <c r="D1134" s="79">
        <f t="shared" si="34"/>
        <v>3.7979105869737697E-4</v>
      </c>
      <c r="F1134" s="76">
        <v>44741</v>
      </c>
      <c r="G1134" s="78">
        <v>46.860000999999997</v>
      </c>
      <c r="H1134" s="79">
        <f t="shared" si="35"/>
        <v>-1.0658494990407096E-3</v>
      </c>
    </row>
    <row r="1135" spans="2:8">
      <c r="B1135" s="76">
        <v>44742</v>
      </c>
      <c r="C1135" s="77">
        <v>53.700001</v>
      </c>
      <c r="D1135" s="79">
        <f t="shared" si="34"/>
        <v>1.9555782022243492E-2</v>
      </c>
      <c r="F1135" s="76">
        <v>44742</v>
      </c>
      <c r="G1135" s="78">
        <v>46.48</v>
      </c>
      <c r="H1135" s="79">
        <f t="shared" si="35"/>
        <v>-8.1092827974971679E-3</v>
      </c>
    </row>
    <row r="1136" spans="2:8">
      <c r="B1136" s="76">
        <v>44743</v>
      </c>
      <c r="C1136" s="77">
        <v>57.459999000000003</v>
      </c>
      <c r="D1136" s="79">
        <f t="shared" si="34"/>
        <v>7.0018583426097195E-2</v>
      </c>
      <c r="F1136" s="76">
        <v>44743</v>
      </c>
      <c r="G1136" s="78">
        <v>46.93</v>
      </c>
      <c r="H1136" s="79">
        <f t="shared" si="35"/>
        <v>9.6815834767642623E-3</v>
      </c>
    </row>
    <row r="1137" spans="2:8">
      <c r="B1137" s="76">
        <v>44747</v>
      </c>
      <c r="C1137" s="77">
        <v>58.689999</v>
      </c>
      <c r="D1137" s="79">
        <f t="shared" si="34"/>
        <v>2.1406195986881184E-2</v>
      </c>
      <c r="F1137" s="76">
        <v>44747</v>
      </c>
      <c r="G1137" s="78">
        <v>47.040000999999997</v>
      </c>
      <c r="H1137" s="79">
        <f t="shared" si="35"/>
        <v>2.3439377796717858E-3</v>
      </c>
    </row>
    <row r="1138" spans="2:8">
      <c r="B1138" s="76">
        <v>44748</v>
      </c>
      <c r="C1138" s="77">
        <v>58.860000999999997</v>
      </c>
      <c r="D1138" s="79">
        <f t="shared" si="34"/>
        <v>2.8966093524724146E-3</v>
      </c>
      <c r="F1138" s="76">
        <v>44748</v>
      </c>
      <c r="G1138" s="78">
        <v>47.16</v>
      </c>
      <c r="H1138" s="79">
        <f t="shared" si="35"/>
        <v>2.5509990954294404E-3</v>
      </c>
    </row>
    <row r="1139" spans="2:8">
      <c r="B1139" s="76">
        <v>44749</v>
      </c>
      <c r="C1139" s="77">
        <v>60.52</v>
      </c>
      <c r="D1139" s="79">
        <f t="shared" si="34"/>
        <v>2.8202496972434748E-2</v>
      </c>
      <c r="F1139" s="76">
        <v>44749</v>
      </c>
      <c r="G1139" s="78">
        <v>47.880001</v>
      </c>
      <c r="H1139" s="79">
        <f t="shared" si="35"/>
        <v>1.5267196776929675E-2</v>
      </c>
    </row>
    <row r="1140" spans="2:8">
      <c r="B1140" s="76">
        <v>44750</v>
      </c>
      <c r="C1140" s="77">
        <v>60.740001999999997</v>
      </c>
      <c r="D1140" s="79">
        <f t="shared" si="34"/>
        <v>3.6351949768670491E-3</v>
      </c>
      <c r="F1140" s="76">
        <v>44750</v>
      </c>
      <c r="G1140" s="78">
        <v>47.849997999999999</v>
      </c>
      <c r="H1140" s="79">
        <f t="shared" si="35"/>
        <v>-6.2662905959422741E-4</v>
      </c>
    </row>
    <row r="1141" spans="2:8">
      <c r="B1141" s="76">
        <v>44753</v>
      </c>
      <c r="C1141" s="77">
        <v>59.98</v>
      </c>
      <c r="D1141" s="79">
        <f t="shared" si="34"/>
        <v>-1.2512380226790248E-2</v>
      </c>
      <c r="F1141" s="76">
        <v>44753</v>
      </c>
      <c r="G1141" s="78">
        <v>47.279998999999997</v>
      </c>
      <c r="H1141" s="79">
        <f t="shared" si="35"/>
        <v>-1.1912205304585442E-2</v>
      </c>
    </row>
    <row r="1142" spans="2:8">
      <c r="B1142" s="76">
        <v>44754</v>
      </c>
      <c r="C1142" s="77">
        <v>62.509998000000003</v>
      </c>
      <c r="D1142" s="79">
        <f t="shared" si="34"/>
        <v>4.2180693564521615E-2</v>
      </c>
      <c r="F1142" s="76">
        <v>44754</v>
      </c>
      <c r="G1142" s="78">
        <v>46.91</v>
      </c>
      <c r="H1142" s="79">
        <f t="shared" si="35"/>
        <v>-7.8256981350612979E-3</v>
      </c>
    </row>
    <row r="1143" spans="2:8">
      <c r="B1143" s="76">
        <v>44755</v>
      </c>
      <c r="C1143" s="77">
        <v>63.110000999999997</v>
      </c>
      <c r="D1143" s="79">
        <f t="shared" si="34"/>
        <v>9.5985125451450801E-3</v>
      </c>
      <c r="F1143" s="76">
        <v>44755</v>
      </c>
      <c r="G1143" s="78">
        <v>46.68</v>
      </c>
      <c r="H1143" s="79">
        <f t="shared" si="35"/>
        <v>-4.9030057557023429E-3</v>
      </c>
    </row>
    <row r="1144" spans="2:8">
      <c r="B1144" s="76">
        <v>44756</v>
      </c>
      <c r="C1144" s="77">
        <v>62.849997999999999</v>
      </c>
      <c r="D1144" s="79">
        <f t="shared" si="34"/>
        <v>-4.119838312155906E-3</v>
      </c>
      <c r="F1144" s="76">
        <v>44756</v>
      </c>
      <c r="G1144" s="78">
        <v>46.540000999999997</v>
      </c>
      <c r="H1144" s="79">
        <f t="shared" si="35"/>
        <v>-2.9991216795202036E-3</v>
      </c>
    </row>
    <row r="1145" spans="2:8">
      <c r="B1145" s="76">
        <v>44757</v>
      </c>
      <c r="C1145" s="77">
        <v>63.84</v>
      </c>
      <c r="D1145" s="79">
        <f t="shared" si="34"/>
        <v>1.5751822299182955E-2</v>
      </c>
      <c r="F1145" s="76">
        <v>44757</v>
      </c>
      <c r="G1145" s="78">
        <v>47.389999000000003</v>
      </c>
      <c r="H1145" s="79">
        <f t="shared" si="35"/>
        <v>1.8263815679763446E-2</v>
      </c>
    </row>
    <row r="1146" spans="2:8">
      <c r="B1146" s="76">
        <v>44760</v>
      </c>
      <c r="C1146" s="77">
        <v>63.720001000000003</v>
      </c>
      <c r="D1146" s="79">
        <f t="shared" si="34"/>
        <v>-1.8796835839598991E-3</v>
      </c>
      <c r="F1146" s="76">
        <v>44760</v>
      </c>
      <c r="G1146" s="78">
        <v>47.029998999999997</v>
      </c>
      <c r="H1146" s="79">
        <f t="shared" si="35"/>
        <v>-7.5965395145926569E-3</v>
      </c>
    </row>
    <row r="1147" spans="2:8">
      <c r="B1147" s="76">
        <v>44761</v>
      </c>
      <c r="C1147" s="77">
        <v>65.370002999999997</v>
      </c>
      <c r="D1147" s="79">
        <f t="shared" si="34"/>
        <v>2.5894569587341869E-2</v>
      </c>
      <c r="F1147" s="76">
        <v>44761</v>
      </c>
      <c r="G1147" s="78">
        <v>48.369999</v>
      </c>
      <c r="H1147" s="79">
        <f t="shared" si="35"/>
        <v>2.8492452232457065E-2</v>
      </c>
    </row>
    <row r="1148" spans="2:8">
      <c r="B1148" s="76">
        <v>44762</v>
      </c>
      <c r="C1148" s="77">
        <v>66.120002999999997</v>
      </c>
      <c r="D1148" s="79">
        <f t="shared" si="34"/>
        <v>1.1473152295862677E-2</v>
      </c>
      <c r="F1148" s="76">
        <v>44762</v>
      </c>
      <c r="G1148" s="78">
        <v>48.650002000000001</v>
      </c>
      <c r="H1148" s="79">
        <f t="shared" si="35"/>
        <v>5.7887741531687997E-3</v>
      </c>
    </row>
    <row r="1149" spans="2:8">
      <c r="B1149" s="76">
        <v>44763</v>
      </c>
      <c r="C1149" s="77">
        <v>65.690002000000007</v>
      </c>
      <c r="D1149" s="79">
        <f t="shared" si="34"/>
        <v>-6.5033421126733781E-3</v>
      </c>
      <c r="F1149" s="76">
        <v>44763</v>
      </c>
      <c r="G1149" s="78">
        <v>49.16</v>
      </c>
      <c r="H1149" s="79">
        <f t="shared" si="35"/>
        <v>1.0483000596793315E-2</v>
      </c>
    </row>
    <row r="1150" spans="2:8">
      <c r="B1150" s="76">
        <v>44764</v>
      </c>
      <c r="C1150" s="77">
        <v>65.559997999999993</v>
      </c>
      <c r="D1150" s="79">
        <f t="shared" si="34"/>
        <v>-1.9790530680759266E-3</v>
      </c>
      <c r="F1150" s="76">
        <v>44764</v>
      </c>
      <c r="G1150" s="78">
        <v>48.68</v>
      </c>
      <c r="H1150" s="79">
        <f t="shared" si="35"/>
        <v>-9.7640358014645431E-3</v>
      </c>
    </row>
    <row r="1151" spans="2:8">
      <c r="B1151" s="76">
        <v>44767</v>
      </c>
      <c r="C1151" s="77">
        <v>65.180000000000007</v>
      </c>
      <c r="D1151" s="79">
        <f t="shared" si="34"/>
        <v>-5.7961868760274572E-3</v>
      </c>
      <c r="F1151" s="76">
        <v>44767</v>
      </c>
      <c r="G1151" s="78">
        <v>48.790000999999997</v>
      </c>
      <c r="H1151" s="79">
        <f t="shared" si="35"/>
        <v>2.2596754313885972E-3</v>
      </c>
    </row>
    <row r="1152" spans="2:8">
      <c r="B1152" s="76">
        <v>44768</v>
      </c>
      <c r="C1152" s="77">
        <v>64.339995999999999</v>
      </c>
      <c r="D1152" s="79">
        <f t="shared" si="34"/>
        <v>-1.2887450138079279E-2</v>
      </c>
      <c r="F1152" s="76">
        <v>44768</v>
      </c>
      <c r="G1152" s="78">
        <v>48.240001999999997</v>
      </c>
      <c r="H1152" s="79">
        <f t="shared" si="35"/>
        <v>-1.1272781076598046E-2</v>
      </c>
    </row>
    <row r="1153" spans="2:8">
      <c r="B1153" s="76">
        <v>44769</v>
      </c>
      <c r="C1153" s="77">
        <v>65.239998</v>
      </c>
      <c r="D1153" s="79">
        <f t="shared" si="34"/>
        <v>1.3988219707069934E-2</v>
      </c>
      <c r="F1153" s="76">
        <v>44769</v>
      </c>
      <c r="G1153" s="78">
        <v>49.459999000000003</v>
      </c>
      <c r="H1153" s="79">
        <f t="shared" si="35"/>
        <v>2.5290152351154681E-2</v>
      </c>
    </row>
    <row r="1154" spans="2:8">
      <c r="B1154" s="76">
        <v>44770</v>
      </c>
      <c r="C1154" s="77">
        <v>65.830001999999993</v>
      </c>
      <c r="D1154" s="79">
        <f t="shared" si="34"/>
        <v>9.0435931650395401E-3</v>
      </c>
      <c r="F1154" s="76">
        <v>44770</v>
      </c>
      <c r="G1154" s="78">
        <v>50.040000999999997</v>
      </c>
      <c r="H1154" s="79">
        <f t="shared" si="35"/>
        <v>1.1726688470009738E-2</v>
      </c>
    </row>
    <row r="1155" spans="2:8">
      <c r="B1155" s="76">
        <v>44771</v>
      </c>
      <c r="C1155" s="77">
        <v>68</v>
      </c>
      <c r="D1155" s="79">
        <f t="shared" si="34"/>
        <v>3.2963662981508143E-2</v>
      </c>
      <c r="F1155" s="76">
        <v>44771</v>
      </c>
      <c r="G1155" s="78">
        <v>50.82</v>
      </c>
      <c r="H1155" s="79">
        <f t="shared" si="35"/>
        <v>1.5587509680505476E-2</v>
      </c>
    </row>
    <row r="1156" spans="2:8">
      <c r="B1156" s="76">
        <v>44774</v>
      </c>
      <c r="C1156" s="77">
        <v>73.339995999999999</v>
      </c>
      <c r="D1156" s="79">
        <f t="shared" si="34"/>
        <v>7.8529352941176467E-2</v>
      </c>
      <c r="F1156" s="76">
        <v>44774</v>
      </c>
      <c r="G1156" s="78">
        <v>50.669998</v>
      </c>
      <c r="H1156" s="79">
        <f t="shared" si="35"/>
        <v>-2.9516332152695916E-3</v>
      </c>
    </row>
    <row r="1157" spans="2:8">
      <c r="B1157" s="76">
        <v>44775</v>
      </c>
      <c r="C1157" s="77">
        <v>70.269997000000004</v>
      </c>
      <c r="D1157" s="79">
        <f t="shared" si="34"/>
        <v>-4.1859819572392612E-2</v>
      </c>
      <c r="F1157" s="76">
        <v>44775</v>
      </c>
      <c r="G1157" s="78">
        <v>50.299999</v>
      </c>
      <c r="H1157" s="79">
        <f t="shared" si="35"/>
        <v>-7.3021317269442157E-3</v>
      </c>
    </row>
    <row r="1158" spans="2:8">
      <c r="B1158" s="76">
        <v>44776</v>
      </c>
      <c r="C1158" s="77">
        <v>69.010002</v>
      </c>
      <c r="D1158" s="79">
        <f t="shared" ref="D1158:D1221" si="36">(C1158-C1157)/C1157</f>
        <v>-1.7930767806920548E-2</v>
      </c>
      <c r="F1158" s="76">
        <v>44776</v>
      </c>
      <c r="G1158" s="78">
        <v>51.09</v>
      </c>
      <c r="H1158" s="79">
        <f t="shared" ref="H1158:H1221" si="37">(G1158-G1157)/G1157</f>
        <v>1.5705785600512709E-2</v>
      </c>
    </row>
    <row r="1159" spans="2:8">
      <c r="B1159" s="76">
        <v>44777</v>
      </c>
      <c r="C1159" s="77">
        <v>70.809997999999993</v>
      </c>
      <c r="D1159" s="79">
        <f t="shared" si="36"/>
        <v>2.6083117632716386E-2</v>
      </c>
      <c r="F1159" s="76">
        <v>44777</v>
      </c>
      <c r="G1159" s="78">
        <v>51.029998999999997</v>
      </c>
      <c r="H1159" s="79">
        <f t="shared" si="37"/>
        <v>-1.1744176942651565E-3</v>
      </c>
    </row>
    <row r="1160" spans="2:8">
      <c r="B1160" s="76">
        <v>44778</v>
      </c>
      <c r="C1160" s="77">
        <v>68.370002999999997</v>
      </c>
      <c r="D1160" s="79">
        <f t="shared" si="36"/>
        <v>-3.4458340190886554E-2</v>
      </c>
      <c r="F1160" s="76">
        <v>44778</v>
      </c>
      <c r="G1160" s="78">
        <v>50.93</v>
      </c>
      <c r="H1160" s="79">
        <f t="shared" si="37"/>
        <v>-1.959612031346441E-3</v>
      </c>
    </row>
    <row r="1161" spans="2:8">
      <c r="B1161" s="76">
        <v>44781</v>
      </c>
      <c r="C1161" s="77">
        <v>69.779999000000004</v>
      </c>
      <c r="D1161" s="79">
        <f t="shared" si="36"/>
        <v>2.0623020888268891E-2</v>
      </c>
      <c r="F1161" s="76">
        <v>44781</v>
      </c>
      <c r="G1161" s="78">
        <v>50.93</v>
      </c>
      <c r="H1161" s="79">
        <f t="shared" si="37"/>
        <v>0</v>
      </c>
    </row>
    <row r="1162" spans="2:8">
      <c r="B1162" s="76">
        <v>44782</v>
      </c>
      <c r="C1162" s="77">
        <v>66.779999000000004</v>
      </c>
      <c r="D1162" s="79">
        <f t="shared" si="36"/>
        <v>-4.299226200906079E-2</v>
      </c>
      <c r="F1162" s="76">
        <v>44782</v>
      </c>
      <c r="G1162" s="78">
        <v>50.700001</v>
      </c>
      <c r="H1162" s="79">
        <f t="shared" si="37"/>
        <v>-4.5159827213822777E-3</v>
      </c>
    </row>
    <row r="1163" spans="2:8">
      <c r="B1163" s="76">
        <v>44783</v>
      </c>
      <c r="C1163" s="77">
        <v>68.370002999999997</v>
      </c>
      <c r="D1163" s="79">
        <f t="shared" si="36"/>
        <v>2.380958406423446E-2</v>
      </c>
      <c r="F1163" s="76">
        <v>44783</v>
      </c>
      <c r="G1163" s="78">
        <v>51.779998999999997</v>
      </c>
      <c r="H1163" s="79">
        <f t="shared" si="37"/>
        <v>2.1301735280044594E-2</v>
      </c>
    </row>
    <row r="1164" spans="2:8">
      <c r="B1164" s="76">
        <v>44784</v>
      </c>
      <c r="C1164" s="77">
        <v>70.260002</v>
      </c>
      <c r="D1164" s="79">
        <f t="shared" si="36"/>
        <v>2.7643687539402377E-2</v>
      </c>
      <c r="F1164" s="76">
        <v>44784</v>
      </c>
      <c r="G1164" s="78">
        <v>51.82</v>
      </c>
      <c r="H1164" s="79">
        <f t="shared" si="37"/>
        <v>7.7251836177138068E-4</v>
      </c>
    </row>
    <row r="1165" spans="2:8">
      <c r="B1165" s="76">
        <v>44785</v>
      </c>
      <c r="C1165" s="77">
        <v>70.75</v>
      </c>
      <c r="D1165" s="79">
        <f t="shared" si="36"/>
        <v>6.9740675498415148E-3</v>
      </c>
      <c r="F1165" s="76">
        <v>44785</v>
      </c>
      <c r="G1165" s="78">
        <v>52.689999</v>
      </c>
      <c r="H1165" s="79">
        <f t="shared" si="37"/>
        <v>1.6788865302971825E-2</v>
      </c>
    </row>
    <row r="1166" spans="2:8">
      <c r="B1166" s="76">
        <v>44788</v>
      </c>
      <c r="C1166" s="77">
        <v>69.660004000000001</v>
      </c>
      <c r="D1166" s="79">
        <f t="shared" si="36"/>
        <v>-1.5406303886925786E-2</v>
      </c>
      <c r="F1166" s="76">
        <v>44788</v>
      </c>
      <c r="G1166" s="78">
        <v>52.900002000000001</v>
      </c>
      <c r="H1166" s="79">
        <f t="shared" si="37"/>
        <v>3.9856330230714256E-3</v>
      </c>
    </row>
    <row r="1167" spans="2:8">
      <c r="B1167" s="76">
        <v>44789</v>
      </c>
      <c r="C1167" s="77">
        <v>69.209998999999996</v>
      </c>
      <c r="D1167" s="79">
        <f t="shared" si="36"/>
        <v>-6.4600197266713394E-3</v>
      </c>
      <c r="F1167" s="76">
        <v>44789</v>
      </c>
      <c r="G1167" s="78">
        <v>53.040000999999997</v>
      </c>
      <c r="H1167" s="79">
        <f t="shared" si="37"/>
        <v>2.6464838318908945E-3</v>
      </c>
    </row>
    <row r="1168" spans="2:8">
      <c r="B1168" s="76">
        <v>44790</v>
      </c>
      <c r="C1168" s="77">
        <v>67</v>
      </c>
      <c r="D1168" s="79">
        <f t="shared" si="36"/>
        <v>-3.1931787775347262E-2</v>
      </c>
      <c r="F1168" s="76">
        <v>44790</v>
      </c>
      <c r="G1168" s="78">
        <v>52.639999000000003</v>
      </c>
      <c r="H1168" s="79">
        <f t="shared" si="37"/>
        <v>-7.541515694918512E-3</v>
      </c>
    </row>
    <row r="1169" spans="2:8">
      <c r="B1169" s="76">
        <v>44791</v>
      </c>
      <c r="C1169" s="77">
        <v>68.430000000000007</v>
      </c>
      <c r="D1169" s="79">
        <f t="shared" si="36"/>
        <v>2.1343283582089655E-2</v>
      </c>
      <c r="F1169" s="76">
        <v>44791</v>
      </c>
      <c r="G1169" s="78">
        <v>52.759998000000003</v>
      </c>
      <c r="H1169" s="79">
        <f t="shared" si="37"/>
        <v>2.2796163047039564E-3</v>
      </c>
    </row>
    <row r="1170" spans="2:8">
      <c r="B1170" s="76">
        <v>44792</v>
      </c>
      <c r="C1170" s="77">
        <v>66.319999999999993</v>
      </c>
      <c r="D1170" s="79">
        <f t="shared" si="36"/>
        <v>-3.0834429343855229E-2</v>
      </c>
      <c r="F1170" s="76">
        <v>44792</v>
      </c>
      <c r="G1170" s="78">
        <v>52.080002</v>
      </c>
      <c r="H1170" s="79">
        <f t="shared" si="37"/>
        <v>-1.2888476606841469E-2</v>
      </c>
    </row>
    <row r="1171" spans="2:8">
      <c r="B1171" s="76">
        <v>44795</v>
      </c>
      <c r="C1171" s="77">
        <v>64.779999000000004</v>
      </c>
      <c r="D1171" s="79">
        <f t="shared" si="36"/>
        <v>-2.3220762967430485E-2</v>
      </c>
      <c r="F1171" s="76">
        <v>44795</v>
      </c>
      <c r="G1171" s="78">
        <v>50.950001</v>
      </c>
      <c r="H1171" s="79">
        <f t="shared" si="37"/>
        <v>-2.1697407000867627E-2</v>
      </c>
    </row>
    <row r="1172" spans="2:8">
      <c r="B1172" s="76">
        <v>44796</v>
      </c>
      <c r="C1172" s="77">
        <v>64.199996999999996</v>
      </c>
      <c r="D1172" s="79">
        <f t="shared" si="36"/>
        <v>-8.9534116849864023E-3</v>
      </c>
      <c r="F1172" s="76">
        <v>44796</v>
      </c>
      <c r="G1172" s="78">
        <v>50.860000999999997</v>
      </c>
      <c r="H1172" s="79">
        <f t="shared" si="37"/>
        <v>-1.7664376493339699E-3</v>
      </c>
    </row>
    <row r="1173" spans="2:8">
      <c r="B1173" s="76">
        <v>44797</v>
      </c>
      <c r="C1173" s="77">
        <v>64.440002000000007</v>
      </c>
      <c r="D1173" s="79">
        <f t="shared" si="36"/>
        <v>3.7383958133208432E-3</v>
      </c>
      <c r="F1173" s="76">
        <v>44797</v>
      </c>
      <c r="G1173" s="78">
        <v>50.990001999999997</v>
      </c>
      <c r="H1173" s="79">
        <f t="shared" si="37"/>
        <v>2.5560557893028754E-3</v>
      </c>
    </row>
    <row r="1174" spans="2:8">
      <c r="B1174" s="76">
        <v>44798</v>
      </c>
      <c r="C1174" s="77">
        <v>65.269997000000004</v>
      </c>
      <c r="D1174" s="79">
        <f t="shared" si="36"/>
        <v>1.2880120643075036E-2</v>
      </c>
      <c r="F1174" s="76">
        <v>44798</v>
      </c>
      <c r="G1174" s="78">
        <v>51.73</v>
      </c>
      <c r="H1174" s="79">
        <f t="shared" si="37"/>
        <v>1.451260974651462E-2</v>
      </c>
    </row>
    <row r="1175" spans="2:8">
      <c r="B1175" s="76">
        <v>44799</v>
      </c>
      <c r="C1175" s="77">
        <v>62.099997999999999</v>
      </c>
      <c r="D1175" s="79">
        <f t="shared" si="36"/>
        <v>-4.8567475803622362E-2</v>
      </c>
      <c r="F1175" s="76">
        <v>44799</v>
      </c>
      <c r="G1175" s="78">
        <v>50.040000999999997</v>
      </c>
      <c r="H1175" s="79">
        <f t="shared" si="37"/>
        <v>-3.2669611444036351E-2</v>
      </c>
    </row>
    <row r="1176" spans="2:8">
      <c r="B1176" s="76">
        <v>44802</v>
      </c>
      <c r="C1176" s="77">
        <v>60.439999</v>
      </c>
      <c r="D1176" s="79">
        <f t="shared" si="36"/>
        <v>-2.6731063662836174E-2</v>
      </c>
      <c r="F1176" s="76">
        <v>44802</v>
      </c>
      <c r="G1176" s="78">
        <v>49.689999</v>
      </c>
      <c r="H1176" s="79">
        <f t="shared" si="37"/>
        <v>-6.9944443046673077E-3</v>
      </c>
    </row>
    <row r="1177" spans="2:8">
      <c r="B1177" s="76">
        <v>44803</v>
      </c>
      <c r="C1177" s="77">
        <v>59.849997999999999</v>
      </c>
      <c r="D1177" s="79">
        <f t="shared" si="36"/>
        <v>-9.7617638941390594E-3</v>
      </c>
      <c r="F1177" s="76">
        <v>44803</v>
      </c>
      <c r="G1177" s="78">
        <v>49.139999000000003</v>
      </c>
      <c r="H1177" s="79">
        <f t="shared" si="37"/>
        <v>-1.1068625700716902E-2</v>
      </c>
    </row>
    <row r="1178" spans="2:8">
      <c r="B1178" s="76">
        <v>44804</v>
      </c>
      <c r="C1178" s="77">
        <v>58.610000999999997</v>
      </c>
      <c r="D1178" s="79">
        <f t="shared" si="36"/>
        <v>-2.0718413390757379E-2</v>
      </c>
      <c r="F1178" s="76">
        <v>44804</v>
      </c>
      <c r="G1178" s="78">
        <v>48.759998000000003</v>
      </c>
      <c r="H1178" s="79">
        <f t="shared" si="37"/>
        <v>-7.7330282403953654E-3</v>
      </c>
    </row>
    <row r="1179" spans="2:8">
      <c r="B1179" s="76">
        <v>44805</v>
      </c>
      <c r="C1179" s="77">
        <v>58.759998000000003</v>
      </c>
      <c r="D1179" s="79">
        <f t="shared" si="36"/>
        <v>2.5592389940414123E-3</v>
      </c>
      <c r="F1179" s="76">
        <v>44805</v>
      </c>
      <c r="G1179" s="78">
        <v>48.869999</v>
      </c>
      <c r="H1179" s="79">
        <f t="shared" si="37"/>
        <v>2.2559680990962491E-3</v>
      </c>
    </row>
    <row r="1180" spans="2:8">
      <c r="B1180" s="76">
        <v>44806</v>
      </c>
      <c r="C1180" s="77">
        <v>58.57</v>
      </c>
      <c r="D1180" s="79">
        <f t="shared" si="36"/>
        <v>-3.2334582448420566E-3</v>
      </c>
      <c r="F1180" s="76">
        <v>44806</v>
      </c>
      <c r="G1180" s="78">
        <v>48.369999</v>
      </c>
      <c r="H1180" s="79">
        <f t="shared" si="37"/>
        <v>-1.0231225910194923E-2</v>
      </c>
    </row>
    <row r="1181" spans="2:8">
      <c r="B1181" s="76">
        <v>44810</v>
      </c>
      <c r="C1181" s="77">
        <v>57.639999000000003</v>
      </c>
      <c r="D1181" s="79">
        <f t="shared" si="36"/>
        <v>-1.5878453133003196E-2</v>
      </c>
      <c r="F1181" s="76">
        <v>44810</v>
      </c>
      <c r="G1181" s="78">
        <v>48.150002000000001</v>
      </c>
      <c r="H1181" s="79">
        <f t="shared" si="37"/>
        <v>-4.5482117954974387E-3</v>
      </c>
    </row>
    <row r="1182" spans="2:8">
      <c r="B1182" s="76">
        <v>44811</v>
      </c>
      <c r="C1182" s="77">
        <v>58.630001</v>
      </c>
      <c r="D1182" s="79">
        <f t="shared" si="36"/>
        <v>1.7175607515190917E-2</v>
      </c>
      <c r="F1182" s="76">
        <v>44811</v>
      </c>
      <c r="G1182" s="78">
        <v>49.040000999999997</v>
      </c>
      <c r="H1182" s="79">
        <f t="shared" si="37"/>
        <v>1.8483882929018279E-2</v>
      </c>
    </row>
    <row r="1183" spans="2:8">
      <c r="B1183" s="76">
        <v>44812</v>
      </c>
      <c r="C1183" s="77">
        <v>58.68</v>
      </c>
      <c r="D1183" s="79">
        <f t="shared" si="36"/>
        <v>8.5278866019462775E-4</v>
      </c>
      <c r="F1183" s="76">
        <v>44812</v>
      </c>
      <c r="G1183" s="78">
        <v>49.330002</v>
      </c>
      <c r="H1183" s="79">
        <f t="shared" si="37"/>
        <v>5.9135602383043129E-3</v>
      </c>
    </row>
    <row r="1184" spans="2:8">
      <c r="B1184" s="76">
        <v>44813</v>
      </c>
      <c r="C1184" s="77">
        <v>61.169998</v>
      </c>
      <c r="D1184" s="79">
        <f t="shared" si="36"/>
        <v>4.2433503749147922E-2</v>
      </c>
      <c r="F1184" s="76">
        <v>44813</v>
      </c>
      <c r="G1184" s="78">
        <v>50.130001</v>
      </c>
      <c r="H1184" s="79">
        <f t="shared" si="37"/>
        <v>1.6217291051397072E-2</v>
      </c>
    </row>
    <row r="1185" spans="2:8">
      <c r="B1185" s="76">
        <v>44816</v>
      </c>
      <c r="C1185" s="77">
        <v>61.41</v>
      </c>
      <c r="D1185" s="79">
        <f t="shared" si="36"/>
        <v>3.9235247318464344E-3</v>
      </c>
      <c r="F1185" s="76">
        <v>44816</v>
      </c>
      <c r="G1185" s="78">
        <v>50.669998</v>
      </c>
      <c r="H1185" s="79">
        <f t="shared" si="37"/>
        <v>1.0771932759386931E-2</v>
      </c>
    </row>
    <row r="1186" spans="2:8">
      <c r="B1186" s="76">
        <v>44817</v>
      </c>
      <c r="C1186" s="77">
        <v>56.610000999999997</v>
      </c>
      <c r="D1186" s="79">
        <f t="shared" si="36"/>
        <v>-7.8163149324214296E-2</v>
      </c>
      <c r="F1186" s="76">
        <v>44817</v>
      </c>
      <c r="G1186" s="78">
        <v>48.509998000000003</v>
      </c>
      <c r="H1186" s="79">
        <f t="shared" si="37"/>
        <v>-4.2628776105339425E-2</v>
      </c>
    </row>
    <row r="1187" spans="2:8">
      <c r="B1187" s="76">
        <v>44818</v>
      </c>
      <c r="C1187" s="77">
        <v>55.220001000000003</v>
      </c>
      <c r="D1187" s="79">
        <f t="shared" si="36"/>
        <v>-2.4553965296697195E-2</v>
      </c>
      <c r="F1187" s="76">
        <v>44818</v>
      </c>
      <c r="G1187" s="78">
        <v>48.669998</v>
      </c>
      <c r="H1187" s="79">
        <f t="shared" si="37"/>
        <v>3.298289148558542E-3</v>
      </c>
    </row>
    <row r="1188" spans="2:8">
      <c r="B1188" s="76">
        <v>44819</v>
      </c>
      <c r="C1188" s="77">
        <v>55.299999</v>
      </c>
      <c r="D1188" s="79">
        <f t="shared" si="36"/>
        <v>1.4487142077378129E-3</v>
      </c>
      <c r="F1188" s="76">
        <v>44819</v>
      </c>
      <c r="G1188" s="78">
        <v>48.139999000000003</v>
      </c>
      <c r="H1188" s="79">
        <f t="shared" si="37"/>
        <v>-1.0889644992383122E-2</v>
      </c>
    </row>
    <row r="1189" spans="2:8">
      <c r="B1189" s="76">
        <v>44820</v>
      </c>
      <c r="C1189" s="77">
        <v>55.41</v>
      </c>
      <c r="D1189" s="79">
        <f t="shared" si="36"/>
        <v>1.9891682095689893E-3</v>
      </c>
      <c r="F1189" s="76">
        <v>44820</v>
      </c>
      <c r="G1189" s="78">
        <v>47.77</v>
      </c>
      <c r="H1189" s="79">
        <f t="shared" si="37"/>
        <v>-7.6858954650165226E-3</v>
      </c>
    </row>
    <row r="1190" spans="2:8">
      <c r="B1190" s="76">
        <v>44823</v>
      </c>
      <c r="C1190" s="77">
        <v>57.150002000000001</v>
      </c>
      <c r="D1190" s="79">
        <f t="shared" si="36"/>
        <v>3.14023100523372E-2</v>
      </c>
      <c r="F1190" s="76">
        <v>44823</v>
      </c>
      <c r="G1190" s="78">
        <v>47.900002000000001</v>
      </c>
      <c r="H1190" s="79">
        <f t="shared" si="37"/>
        <v>2.7214151140882875E-3</v>
      </c>
    </row>
    <row r="1191" spans="2:8">
      <c r="B1191" s="76">
        <v>44824</v>
      </c>
      <c r="C1191" s="77">
        <v>56.310001</v>
      </c>
      <c r="D1191" s="79">
        <f t="shared" si="36"/>
        <v>-1.4698179713099589E-2</v>
      </c>
      <c r="F1191" s="76">
        <v>44824</v>
      </c>
      <c r="G1191" s="78">
        <v>47.380001</v>
      </c>
      <c r="H1191" s="79">
        <f t="shared" si="37"/>
        <v>-1.0855970319166179E-2</v>
      </c>
    </row>
    <row r="1192" spans="2:8">
      <c r="B1192" s="76">
        <v>44825</v>
      </c>
      <c r="C1192" s="77">
        <v>56.610000999999997</v>
      </c>
      <c r="D1192" s="79">
        <f t="shared" si="36"/>
        <v>5.3276504115138826E-3</v>
      </c>
      <c r="F1192" s="76">
        <v>44825</v>
      </c>
      <c r="G1192" s="78">
        <v>46.580002</v>
      </c>
      <c r="H1192" s="79">
        <f t="shared" si="37"/>
        <v>-1.6884740040423379E-2</v>
      </c>
    </row>
    <row r="1193" spans="2:8">
      <c r="B1193" s="76">
        <v>44826</v>
      </c>
      <c r="C1193" s="77">
        <v>55.509998000000003</v>
      </c>
      <c r="D1193" s="79">
        <f t="shared" si="36"/>
        <v>-1.9431248552707038E-2</v>
      </c>
      <c r="F1193" s="76">
        <v>44826</v>
      </c>
      <c r="G1193" s="78">
        <v>46.130001</v>
      </c>
      <c r="H1193" s="79">
        <f t="shared" si="37"/>
        <v>-9.6608196796556661E-3</v>
      </c>
    </row>
    <row r="1194" spans="2:8">
      <c r="B1194" s="76">
        <v>44827</v>
      </c>
      <c r="C1194" s="77">
        <v>54.139999000000003</v>
      </c>
      <c r="D1194" s="79">
        <f t="shared" si="36"/>
        <v>-2.468022066943688E-2</v>
      </c>
      <c r="F1194" s="76">
        <v>44827</v>
      </c>
      <c r="G1194" s="78">
        <v>45.310001</v>
      </c>
      <c r="H1194" s="79">
        <f t="shared" si="37"/>
        <v>-1.7775850470933229E-2</v>
      </c>
    </row>
    <row r="1195" spans="2:8">
      <c r="B1195" s="76">
        <v>44830</v>
      </c>
      <c r="C1195" s="77">
        <v>52.889999000000003</v>
      </c>
      <c r="D1195" s="79">
        <f t="shared" si="36"/>
        <v>-2.3088290045960289E-2</v>
      </c>
      <c r="F1195" s="76">
        <v>44830</v>
      </c>
      <c r="G1195" s="78">
        <v>44.860000999999997</v>
      </c>
      <c r="H1195" s="79">
        <f t="shared" si="37"/>
        <v>-9.9315822129424115E-3</v>
      </c>
    </row>
    <row r="1196" spans="2:8">
      <c r="B1196" s="76">
        <v>44831</v>
      </c>
      <c r="C1196" s="77">
        <v>54.290000999999997</v>
      </c>
      <c r="D1196" s="79">
        <f t="shared" si="36"/>
        <v>2.6470070456987405E-2</v>
      </c>
      <c r="F1196" s="76">
        <v>44831</v>
      </c>
      <c r="G1196" s="78">
        <v>44.759998000000003</v>
      </c>
      <c r="H1196" s="79">
        <f t="shared" si="37"/>
        <v>-2.2292242035392255E-3</v>
      </c>
    </row>
    <row r="1197" spans="2:8">
      <c r="B1197" s="76">
        <v>44832</v>
      </c>
      <c r="C1197" s="77">
        <v>58.459999000000003</v>
      </c>
      <c r="D1197" s="79">
        <f t="shared" si="36"/>
        <v>7.6809687293982687E-2</v>
      </c>
      <c r="F1197" s="76">
        <v>44832</v>
      </c>
      <c r="G1197" s="78">
        <v>45.66</v>
      </c>
      <c r="H1197" s="79">
        <f t="shared" si="37"/>
        <v>2.0107284187099238E-2</v>
      </c>
    </row>
    <row r="1198" spans="2:8">
      <c r="B1198" s="76">
        <v>44833</v>
      </c>
      <c r="C1198" s="77">
        <v>58.200001</v>
      </c>
      <c r="D1198" s="79">
        <f t="shared" si="36"/>
        <v>-4.4474513247939511E-3</v>
      </c>
      <c r="F1198" s="76">
        <v>44833</v>
      </c>
      <c r="G1198" s="78">
        <v>44.68</v>
      </c>
      <c r="H1198" s="79">
        <f t="shared" si="37"/>
        <v>-2.1462987297415616E-2</v>
      </c>
    </row>
    <row r="1199" spans="2:8">
      <c r="B1199" s="76">
        <v>44834</v>
      </c>
      <c r="C1199" s="77">
        <v>58.919998</v>
      </c>
      <c r="D1199" s="79">
        <f t="shared" si="36"/>
        <v>1.2371082261665242E-2</v>
      </c>
      <c r="F1199" s="76">
        <v>44834</v>
      </c>
      <c r="G1199" s="78">
        <v>44.110000999999997</v>
      </c>
      <c r="H1199" s="79">
        <f t="shared" si="37"/>
        <v>-1.2757363473590036E-2</v>
      </c>
    </row>
    <row r="1200" spans="2:8">
      <c r="B1200" s="76">
        <v>44837</v>
      </c>
      <c r="C1200" s="77">
        <v>60.279998999999997</v>
      </c>
      <c r="D1200" s="79">
        <f t="shared" si="36"/>
        <v>2.3082163037412135E-2</v>
      </c>
      <c r="F1200" s="76">
        <v>44837</v>
      </c>
      <c r="G1200" s="78">
        <v>45.189999</v>
      </c>
      <c r="H1200" s="79">
        <f t="shared" si="37"/>
        <v>2.4484198039351743E-2</v>
      </c>
    </row>
    <row r="1201" spans="2:8">
      <c r="B1201" s="76">
        <v>44838</v>
      </c>
      <c r="C1201" s="77">
        <v>63.450001</v>
      </c>
      <c r="D1201" s="79">
        <f t="shared" si="36"/>
        <v>5.2587957076774404E-2</v>
      </c>
      <c r="F1201" s="76">
        <v>44838</v>
      </c>
      <c r="G1201" s="78">
        <v>46.610000999999997</v>
      </c>
      <c r="H1201" s="79">
        <f t="shared" si="37"/>
        <v>3.1422926121330443E-2</v>
      </c>
    </row>
    <row r="1202" spans="2:8">
      <c r="B1202" s="76">
        <v>44839</v>
      </c>
      <c r="C1202" s="77">
        <v>63.619999</v>
      </c>
      <c r="D1202" s="79">
        <f t="shared" si="36"/>
        <v>2.6792434565919023E-3</v>
      </c>
      <c r="F1202" s="76">
        <v>44839</v>
      </c>
      <c r="G1202" s="78">
        <v>46.509998000000003</v>
      </c>
      <c r="H1202" s="79">
        <f t="shared" si="37"/>
        <v>-2.1455266649746231E-3</v>
      </c>
    </row>
    <row r="1203" spans="2:8">
      <c r="B1203" s="76">
        <v>44840</v>
      </c>
      <c r="C1203" s="77">
        <v>63.790000999999997</v>
      </c>
      <c r="D1203" s="79">
        <f t="shared" si="36"/>
        <v>2.6721471655476864E-3</v>
      </c>
      <c r="F1203" s="76">
        <v>44840</v>
      </c>
      <c r="G1203" s="78">
        <v>46.049999</v>
      </c>
      <c r="H1203" s="79">
        <f t="shared" si="37"/>
        <v>-9.8903250866620839E-3</v>
      </c>
    </row>
    <row r="1204" spans="2:8">
      <c r="B1204" s="76">
        <v>44841</v>
      </c>
      <c r="C1204" s="77">
        <v>63.240001999999997</v>
      </c>
      <c r="D1204" s="79">
        <f t="shared" si="36"/>
        <v>-8.6220252606674149E-3</v>
      </c>
      <c r="F1204" s="76">
        <v>44841</v>
      </c>
      <c r="G1204" s="78">
        <v>44.82</v>
      </c>
      <c r="H1204" s="79">
        <f t="shared" si="37"/>
        <v>-2.6710076584366471E-2</v>
      </c>
    </row>
    <row r="1205" spans="2:8">
      <c r="B1205" s="76">
        <v>44844</v>
      </c>
      <c r="C1205" s="77">
        <v>64.089995999999999</v>
      </c>
      <c r="D1205" s="79">
        <f t="shared" si="36"/>
        <v>1.3440764913321831E-2</v>
      </c>
      <c r="F1205" s="76">
        <v>44844</v>
      </c>
      <c r="G1205" s="78">
        <v>44.48</v>
      </c>
      <c r="H1205" s="79">
        <f t="shared" si="37"/>
        <v>-7.5858991521642882E-3</v>
      </c>
    </row>
    <row r="1206" spans="2:8">
      <c r="B1206" s="76">
        <v>44845</v>
      </c>
      <c r="C1206" s="77">
        <v>64.190002000000007</v>
      </c>
      <c r="D1206" s="79">
        <f t="shared" si="36"/>
        <v>1.5603995356780424E-3</v>
      </c>
      <c r="F1206" s="76">
        <v>44845</v>
      </c>
      <c r="G1206" s="78">
        <v>44.209999000000003</v>
      </c>
      <c r="H1206" s="79">
        <f t="shared" si="37"/>
        <v>-6.0701663669063292E-3</v>
      </c>
    </row>
    <row r="1207" spans="2:8">
      <c r="B1207" s="76">
        <v>44846</v>
      </c>
      <c r="C1207" s="77">
        <v>62.82</v>
      </c>
      <c r="D1207" s="79">
        <f t="shared" si="36"/>
        <v>-2.1342918792867562E-2</v>
      </c>
      <c r="F1207" s="76">
        <v>44846</v>
      </c>
      <c r="G1207" s="78">
        <v>44.09</v>
      </c>
      <c r="H1207" s="79">
        <f t="shared" si="37"/>
        <v>-2.7142954696741783E-3</v>
      </c>
    </row>
    <row r="1208" spans="2:8">
      <c r="B1208" s="76">
        <v>44847</v>
      </c>
      <c r="C1208" s="77">
        <v>62.369999</v>
      </c>
      <c r="D1208" s="79">
        <f t="shared" si="36"/>
        <v>-7.1633397007322555E-3</v>
      </c>
      <c r="F1208" s="76">
        <v>44847</v>
      </c>
      <c r="G1208" s="78">
        <v>45.23</v>
      </c>
      <c r="H1208" s="79">
        <f t="shared" si="37"/>
        <v>2.5856203220684812E-2</v>
      </c>
    </row>
    <row r="1209" spans="2:8">
      <c r="B1209" s="76">
        <v>44848</v>
      </c>
      <c r="C1209" s="77">
        <v>57.959999000000003</v>
      </c>
      <c r="D1209" s="79">
        <f t="shared" si="36"/>
        <v>-7.0707071840741834E-2</v>
      </c>
      <c r="F1209" s="76">
        <v>44848</v>
      </c>
      <c r="G1209" s="78">
        <v>44.169998</v>
      </c>
      <c r="H1209" s="79">
        <f t="shared" si="37"/>
        <v>-2.3435816935662112E-2</v>
      </c>
    </row>
    <row r="1210" spans="2:8">
      <c r="B1210" s="76">
        <v>44851</v>
      </c>
      <c r="C1210" s="77">
        <v>58.98</v>
      </c>
      <c r="D1210" s="79">
        <f t="shared" si="36"/>
        <v>1.7598361242207639E-2</v>
      </c>
      <c r="F1210" s="76">
        <v>44851</v>
      </c>
      <c r="G1210" s="78">
        <v>45.310001</v>
      </c>
      <c r="H1210" s="79">
        <f t="shared" si="37"/>
        <v>2.5809441965562237E-2</v>
      </c>
    </row>
    <row r="1211" spans="2:8">
      <c r="B1211" s="76">
        <v>44852</v>
      </c>
      <c r="C1211" s="77">
        <v>60.650002000000001</v>
      </c>
      <c r="D1211" s="79">
        <f t="shared" si="36"/>
        <v>2.8314716853170632E-2</v>
      </c>
      <c r="F1211" s="76">
        <v>44852</v>
      </c>
      <c r="G1211" s="78">
        <v>45.849997999999999</v>
      </c>
      <c r="H1211" s="79">
        <f t="shared" si="37"/>
        <v>1.1917832444982722E-2</v>
      </c>
    </row>
    <row r="1212" spans="2:8">
      <c r="B1212" s="76">
        <v>44853</v>
      </c>
      <c r="C1212" s="77">
        <v>56.34</v>
      </c>
      <c r="D1212" s="79">
        <f t="shared" si="36"/>
        <v>-7.1063509610436573E-2</v>
      </c>
      <c r="F1212" s="76">
        <v>44853</v>
      </c>
      <c r="G1212" s="78">
        <v>45.5</v>
      </c>
      <c r="H1212" s="79">
        <f t="shared" si="37"/>
        <v>-7.6335444987369327E-3</v>
      </c>
    </row>
    <row r="1213" spans="2:8">
      <c r="B1213" s="76">
        <v>44854</v>
      </c>
      <c r="C1213" s="77">
        <v>54.450001</v>
      </c>
      <c r="D1213" s="79">
        <f t="shared" si="36"/>
        <v>-3.3546308129215531E-2</v>
      </c>
      <c r="F1213" s="76">
        <v>44854</v>
      </c>
      <c r="G1213" s="78">
        <v>45.130001</v>
      </c>
      <c r="H1213" s="79">
        <f t="shared" si="37"/>
        <v>-8.1318461538461527E-3</v>
      </c>
    </row>
    <row r="1214" spans="2:8">
      <c r="B1214" s="76">
        <v>44855</v>
      </c>
      <c r="C1214" s="77">
        <v>56.32</v>
      </c>
      <c r="D1214" s="79">
        <f t="shared" si="36"/>
        <v>3.4343415347228366E-2</v>
      </c>
      <c r="F1214" s="76">
        <v>44855</v>
      </c>
      <c r="G1214" s="78">
        <v>46.18</v>
      </c>
      <c r="H1214" s="79">
        <f t="shared" si="37"/>
        <v>2.3266097423751436E-2</v>
      </c>
    </row>
    <row r="1215" spans="2:8">
      <c r="B1215" s="76">
        <v>44858</v>
      </c>
      <c r="C1215" s="77">
        <v>57.759998000000003</v>
      </c>
      <c r="D1215" s="79">
        <f t="shared" si="36"/>
        <v>2.556814630681823E-2</v>
      </c>
      <c r="F1215" s="76">
        <v>44858</v>
      </c>
      <c r="G1215" s="78">
        <v>46.709999000000003</v>
      </c>
      <c r="H1215" s="79">
        <f t="shared" si="37"/>
        <v>1.1476808142052916E-2</v>
      </c>
    </row>
    <row r="1216" spans="2:8">
      <c r="B1216" s="76">
        <v>44859</v>
      </c>
      <c r="C1216" s="77">
        <v>60.470001000000003</v>
      </c>
      <c r="D1216" s="79">
        <f t="shared" si="36"/>
        <v>4.6918336112130754E-2</v>
      </c>
      <c r="F1216" s="76">
        <v>44859</v>
      </c>
      <c r="G1216" s="78">
        <v>47.5</v>
      </c>
      <c r="H1216" s="79">
        <f t="shared" si="37"/>
        <v>1.6912888394623956E-2</v>
      </c>
    </row>
    <row r="1217" spans="2:8">
      <c r="B1217" s="76">
        <v>44860</v>
      </c>
      <c r="C1217" s="77">
        <v>60.700001</v>
      </c>
      <c r="D1217" s="79">
        <f t="shared" si="36"/>
        <v>3.803538882031718E-3</v>
      </c>
      <c r="F1217" s="76">
        <v>44860</v>
      </c>
      <c r="G1217" s="78">
        <v>47.23</v>
      </c>
      <c r="H1217" s="79">
        <f t="shared" si="37"/>
        <v>-5.6842105263158549E-3</v>
      </c>
    </row>
    <row r="1218" spans="2:8">
      <c r="B1218" s="76">
        <v>44861</v>
      </c>
      <c r="C1218" s="77">
        <v>60.860000999999997</v>
      </c>
      <c r="D1218" s="79">
        <f t="shared" si="36"/>
        <v>2.6359142893588516E-3</v>
      </c>
      <c r="F1218" s="76">
        <v>44861</v>
      </c>
      <c r="G1218" s="78">
        <v>46.990001999999997</v>
      </c>
      <c r="H1218" s="79">
        <f t="shared" si="37"/>
        <v>-5.0814736396358239E-3</v>
      </c>
    </row>
    <row r="1219" spans="2:8">
      <c r="B1219" s="76">
        <v>44862</v>
      </c>
      <c r="C1219" s="77">
        <v>61.939999</v>
      </c>
      <c r="D1219" s="79">
        <f t="shared" si="36"/>
        <v>1.774561259044349E-2</v>
      </c>
      <c r="F1219" s="76">
        <v>44862</v>
      </c>
      <c r="G1219" s="78">
        <v>48.07</v>
      </c>
      <c r="H1219" s="79">
        <f t="shared" si="37"/>
        <v>2.2983569994315032E-2</v>
      </c>
    </row>
    <row r="1220" spans="2:8">
      <c r="B1220" s="76">
        <v>44865</v>
      </c>
      <c r="C1220" s="77">
        <v>61.66</v>
      </c>
      <c r="D1220" s="79">
        <f t="shared" si="36"/>
        <v>-4.5204876415965659E-3</v>
      </c>
      <c r="F1220" s="76">
        <v>44865</v>
      </c>
      <c r="G1220" s="78">
        <v>47.73</v>
      </c>
      <c r="H1220" s="79">
        <f t="shared" si="37"/>
        <v>-7.0730185146661824E-3</v>
      </c>
    </row>
    <row r="1221" spans="2:8">
      <c r="B1221" s="76">
        <v>44866</v>
      </c>
      <c r="C1221" s="77">
        <v>61.580002</v>
      </c>
      <c r="D1221" s="79">
        <f t="shared" si="36"/>
        <v>-1.2974051248783043E-3</v>
      </c>
      <c r="F1221" s="76">
        <v>44866</v>
      </c>
      <c r="G1221" s="78">
        <v>47.59</v>
      </c>
      <c r="H1221" s="79">
        <f t="shared" si="37"/>
        <v>-2.9331657238632616E-3</v>
      </c>
    </row>
    <row r="1222" spans="2:8">
      <c r="B1222" s="76">
        <v>44867</v>
      </c>
      <c r="C1222" s="77">
        <v>57.709999000000003</v>
      </c>
      <c r="D1222" s="79">
        <f t="shared" ref="D1222:D1285" si="38">(C1222-C1221)/C1221</f>
        <v>-6.2845126247316405E-2</v>
      </c>
      <c r="F1222" s="76">
        <v>44867</v>
      </c>
      <c r="G1222" s="78">
        <v>46.380001</v>
      </c>
      <c r="H1222" s="79">
        <f t="shared" ref="H1222:H1285" si="39">(G1222-G1221)/G1221</f>
        <v>-2.5425488548014359E-2</v>
      </c>
    </row>
    <row r="1223" spans="2:8">
      <c r="B1223" s="76">
        <v>44868</v>
      </c>
      <c r="C1223" s="77">
        <v>56.560001</v>
      </c>
      <c r="D1223" s="79">
        <f t="shared" si="38"/>
        <v>-1.9927188007748946E-2</v>
      </c>
      <c r="F1223" s="76">
        <v>44868</v>
      </c>
      <c r="G1223" s="78">
        <v>45.880001</v>
      </c>
      <c r="H1223" s="79">
        <f t="shared" si="39"/>
        <v>-1.0780508607578513E-2</v>
      </c>
    </row>
    <row r="1224" spans="2:8">
      <c r="B1224" s="76">
        <v>44869</v>
      </c>
      <c r="C1224" s="77">
        <v>56.68</v>
      </c>
      <c r="D1224" s="79">
        <f t="shared" si="38"/>
        <v>2.1216230176516432E-3</v>
      </c>
      <c r="F1224" s="76">
        <v>44869</v>
      </c>
      <c r="G1224" s="78">
        <v>46.580002</v>
      </c>
      <c r="H1224" s="79">
        <f t="shared" si="39"/>
        <v>1.525721413999098E-2</v>
      </c>
    </row>
    <row r="1225" spans="2:8">
      <c r="B1225" s="76">
        <v>44872</v>
      </c>
      <c r="C1225" s="77">
        <v>57.91</v>
      </c>
      <c r="D1225" s="79">
        <f t="shared" si="38"/>
        <v>2.1700776287932197E-2</v>
      </c>
      <c r="F1225" s="76">
        <v>44872</v>
      </c>
      <c r="G1225" s="78">
        <v>47.049999</v>
      </c>
      <c r="H1225" s="79">
        <f t="shared" si="39"/>
        <v>1.0090102615281109E-2</v>
      </c>
    </row>
    <row r="1226" spans="2:8">
      <c r="B1226" s="76">
        <v>44873</v>
      </c>
      <c r="C1226" s="77">
        <v>60.91</v>
      </c>
      <c r="D1226" s="79">
        <f t="shared" si="38"/>
        <v>5.1804524261785535E-2</v>
      </c>
      <c r="F1226" s="76">
        <v>44873</v>
      </c>
      <c r="G1226" s="78">
        <v>47.27</v>
      </c>
      <c r="H1226" s="79">
        <f t="shared" si="39"/>
        <v>4.6758980802529548E-3</v>
      </c>
    </row>
    <row r="1227" spans="2:8">
      <c r="B1227" s="76">
        <v>44874</v>
      </c>
      <c r="C1227" s="77">
        <v>57.049999</v>
      </c>
      <c r="D1227" s="79">
        <f t="shared" si="38"/>
        <v>-6.3372204892464243E-2</v>
      </c>
      <c r="F1227" s="76">
        <v>44874</v>
      </c>
      <c r="G1227" s="78">
        <v>46.299999</v>
      </c>
      <c r="H1227" s="79">
        <f t="shared" si="39"/>
        <v>-2.0520435794372825E-2</v>
      </c>
    </row>
    <row r="1228" spans="2:8">
      <c r="B1228" s="76">
        <v>44875</v>
      </c>
      <c r="C1228" s="77">
        <v>65.080001999999993</v>
      </c>
      <c r="D1228" s="79">
        <f t="shared" si="38"/>
        <v>0.14075377985545615</v>
      </c>
      <c r="F1228" s="76">
        <v>44875</v>
      </c>
      <c r="G1228" s="78">
        <v>48.860000999999997</v>
      </c>
      <c r="H1228" s="79">
        <f t="shared" si="39"/>
        <v>5.5291621064613786E-2</v>
      </c>
    </row>
    <row r="1229" spans="2:8">
      <c r="B1229" s="76">
        <v>44876</v>
      </c>
      <c r="C1229" s="77">
        <v>65.879997000000003</v>
      </c>
      <c r="D1229" s="79">
        <f t="shared" si="38"/>
        <v>1.2292485793101387E-2</v>
      </c>
      <c r="F1229" s="76">
        <v>44876</v>
      </c>
      <c r="G1229" s="78">
        <v>49.279998999999997</v>
      </c>
      <c r="H1229" s="79">
        <f t="shared" si="39"/>
        <v>8.5959474294730297E-3</v>
      </c>
    </row>
    <row r="1230" spans="2:8">
      <c r="B1230" s="76">
        <v>44879</v>
      </c>
      <c r="C1230" s="77">
        <v>62.970001000000003</v>
      </c>
      <c r="D1230" s="79">
        <f t="shared" si="38"/>
        <v>-4.4171161695711662E-2</v>
      </c>
      <c r="F1230" s="76">
        <v>44879</v>
      </c>
      <c r="G1230" s="78">
        <v>48.860000999999997</v>
      </c>
      <c r="H1230" s="79">
        <f t="shared" si="39"/>
        <v>-8.5226868612558147E-3</v>
      </c>
    </row>
    <row r="1231" spans="2:8">
      <c r="B1231" s="76">
        <v>44880</v>
      </c>
      <c r="C1231" s="77">
        <v>64.059997999999993</v>
      </c>
      <c r="D1231" s="79">
        <f t="shared" si="38"/>
        <v>1.730978216119116E-2</v>
      </c>
      <c r="F1231" s="76">
        <v>44880</v>
      </c>
      <c r="G1231" s="78">
        <v>49.330002</v>
      </c>
      <c r="H1231" s="79">
        <f t="shared" si="39"/>
        <v>9.6193407773365273E-3</v>
      </c>
    </row>
    <row r="1232" spans="2:8">
      <c r="B1232" s="76">
        <v>44881</v>
      </c>
      <c r="C1232" s="77">
        <v>63.119999</v>
      </c>
      <c r="D1232" s="79">
        <f t="shared" si="38"/>
        <v>-1.4673728213353882E-2</v>
      </c>
      <c r="F1232" s="76">
        <v>44881</v>
      </c>
      <c r="G1232" s="78">
        <v>48.889999000000003</v>
      </c>
      <c r="H1232" s="79">
        <f t="shared" si="39"/>
        <v>-8.9195820425873335E-3</v>
      </c>
    </row>
    <row r="1233" spans="2:8">
      <c r="B1233" s="76">
        <v>44882</v>
      </c>
      <c r="C1233" s="77">
        <v>62.919998</v>
      </c>
      <c r="D1233" s="79">
        <f t="shared" si="38"/>
        <v>-3.1685837003894808E-3</v>
      </c>
      <c r="F1233" s="76">
        <v>44882</v>
      </c>
      <c r="G1233" s="78">
        <v>48.740001999999997</v>
      </c>
      <c r="H1233" s="79">
        <f t="shared" si="39"/>
        <v>-3.0680507888741445E-3</v>
      </c>
    </row>
    <row r="1234" spans="2:8">
      <c r="B1234" s="76">
        <v>44883</v>
      </c>
      <c r="C1234" s="77">
        <v>64.199996999999996</v>
      </c>
      <c r="D1234" s="79">
        <f t="shared" si="38"/>
        <v>2.0343277824007504E-2</v>
      </c>
      <c r="F1234" s="76">
        <v>44883</v>
      </c>
      <c r="G1234" s="78">
        <v>49.009998000000003</v>
      </c>
      <c r="H1234" s="79">
        <f t="shared" si="39"/>
        <v>5.5395155708037542E-3</v>
      </c>
    </row>
    <row r="1235" spans="2:8">
      <c r="B1235" s="76">
        <v>44886</v>
      </c>
      <c r="C1235" s="77">
        <v>59.880001</v>
      </c>
      <c r="D1235" s="79">
        <f t="shared" si="38"/>
        <v>-6.7289660465248882E-2</v>
      </c>
      <c r="F1235" s="76">
        <v>44886</v>
      </c>
      <c r="G1235" s="78">
        <v>48.799999</v>
      </c>
      <c r="H1235" s="79">
        <f t="shared" si="39"/>
        <v>-4.2848195994622026E-3</v>
      </c>
    </row>
    <row r="1236" spans="2:8">
      <c r="B1236" s="76">
        <v>44887</v>
      </c>
      <c r="C1236" s="77">
        <v>60.970001000000003</v>
      </c>
      <c r="D1236" s="79">
        <f t="shared" si="38"/>
        <v>1.8203072508298779E-2</v>
      </c>
      <c r="F1236" s="76">
        <v>44887</v>
      </c>
      <c r="G1236" s="78">
        <v>49.490001999999997</v>
      </c>
      <c r="H1236" s="79">
        <f t="shared" si="39"/>
        <v>1.4139406027446788E-2</v>
      </c>
    </row>
    <row r="1237" spans="2:8">
      <c r="B1237" s="76">
        <v>44888</v>
      </c>
      <c r="C1237" s="77">
        <v>60.470001000000003</v>
      </c>
      <c r="D1237" s="79">
        <f t="shared" si="38"/>
        <v>-8.2007543349064405E-3</v>
      </c>
      <c r="F1237" s="76">
        <v>44888</v>
      </c>
      <c r="G1237" s="78">
        <v>49.740001999999997</v>
      </c>
      <c r="H1237" s="79">
        <f t="shared" si="39"/>
        <v>5.0515253565760615E-3</v>
      </c>
    </row>
    <row r="1238" spans="2:8">
      <c r="B1238" s="76">
        <v>44890</v>
      </c>
      <c r="C1238" s="77">
        <v>60.52</v>
      </c>
      <c r="D1238" s="79">
        <f t="shared" si="38"/>
        <v>8.268397415769793E-4</v>
      </c>
      <c r="F1238" s="76">
        <v>44890</v>
      </c>
      <c r="G1238" s="78">
        <v>49.759998000000003</v>
      </c>
      <c r="H1238" s="79">
        <f t="shared" si="39"/>
        <v>4.0201043819833624E-4</v>
      </c>
    </row>
    <row r="1239" spans="2:8">
      <c r="B1239" s="76">
        <v>44893</v>
      </c>
      <c r="C1239" s="77">
        <v>62</v>
      </c>
      <c r="D1239" s="79">
        <f t="shared" si="38"/>
        <v>2.4454725710508871E-2</v>
      </c>
      <c r="F1239" s="76">
        <v>44893</v>
      </c>
      <c r="G1239" s="78">
        <v>48.990001999999997</v>
      </c>
      <c r="H1239" s="79">
        <f t="shared" si="39"/>
        <v>-1.5474196763432467E-2</v>
      </c>
    </row>
    <row r="1240" spans="2:8">
      <c r="B1240" s="76">
        <v>44894</v>
      </c>
      <c r="C1240" s="77">
        <v>63.32</v>
      </c>
      <c r="D1240" s="79">
        <f t="shared" si="38"/>
        <v>2.1290322580645164E-2</v>
      </c>
      <c r="F1240" s="76">
        <v>44894</v>
      </c>
      <c r="G1240" s="78">
        <v>48.889999000000003</v>
      </c>
      <c r="H1240" s="79">
        <f t="shared" si="39"/>
        <v>-2.0412940583263059E-3</v>
      </c>
    </row>
    <row r="1241" spans="2:8">
      <c r="B1241" s="76">
        <v>44895</v>
      </c>
      <c r="C1241" s="77">
        <v>63.93</v>
      </c>
      <c r="D1241" s="79">
        <f t="shared" si="38"/>
        <v>9.6336070751737116E-3</v>
      </c>
      <c r="F1241" s="76">
        <v>44895</v>
      </c>
      <c r="G1241" s="78">
        <v>50.380001</v>
      </c>
      <c r="H1241" s="79">
        <f t="shared" si="39"/>
        <v>3.0476621609257893E-2</v>
      </c>
    </row>
    <row r="1242" spans="2:8">
      <c r="B1242" s="76">
        <v>44896</v>
      </c>
      <c r="C1242" s="77">
        <v>63.73</v>
      </c>
      <c r="D1242" s="79">
        <f t="shared" si="38"/>
        <v>-3.1284217112467205E-3</v>
      </c>
      <c r="F1242" s="76">
        <v>44896</v>
      </c>
      <c r="G1242" s="78">
        <v>50.41</v>
      </c>
      <c r="H1242" s="79">
        <f t="shared" si="39"/>
        <v>5.9545453363521288E-4</v>
      </c>
    </row>
    <row r="1243" spans="2:8">
      <c r="B1243" s="76">
        <v>44897</v>
      </c>
      <c r="C1243" s="77">
        <v>63.110000999999997</v>
      </c>
      <c r="D1243" s="79">
        <f t="shared" si="38"/>
        <v>-9.7285265965793184E-3</v>
      </c>
      <c r="F1243" s="76">
        <v>44897</v>
      </c>
      <c r="G1243" s="78">
        <v>50.34</v>
      </c>
      <c r="H1243" s="79">
        <f t="shared" si="39"/>
        <v>-1.3886133703628881E-3</v>
      </c>
    </row>
    <row r="1244" spans="2:8">
      <c r="B1244" s="76">
        <v>44900</v>
      </c>
      <c r="C1244" s="77">
        <v>61.330002</v>
      </c>
      <c r="D1244" s="79">
        <f t="shared" si="38"/>
        <v>-2.8204705621855349E-2</v>
      </c>
      <c r="F1244" s="76">
        <v>44900</v>
      </c>
      <c r="G1244" s="78">
        <v>49.369999</v>
      </c>
      <c r="H1244" s="79">
        <f t="shared" si="39"/>
        <v>-1.9268990862137531E-2</v>
      </c>
    </row>
    <row r="1245" spans="2:8">
      <c r="B1245" s="76">
        <v>44901</v>
      </c>
      <c r="C1245" s="77">
        <v>62.18</v>
      </c>
      <c r="D1245" s="79">
        <f t="shared" si="38"/>
        <v>1.3859415820661466E-2</v>
      </c>
      <c r="F1245" s="76">
        <v>44901</v>
      </c>
      <c r="G1245" s="78">
        <v>48.709999000000003</v>
      </c>
      <c r="H1245" s="79">
        <f t="shared" si="39"/>
        <v>-1.3368442644691904E-2</v>
      </c>
    </row>
    <row r="1246" spans="2:8">
      <c r="B1246" s="76">
        <v>44902</v>
      </c>
      <c r="C1246" s="77">
        <v>65.470000999999996</v>
      </c>
      <c r="D1246" s="79">
        <f t="shared" si="38"/>
        <v>5.2910919909938833E-2</v>
      </c>
      <c r="F1246" s="76">
        <v>44902</v>
      </c>
      <c r="G1246" s="78">
        <v>48.599997999999999</v>
      </c>
      <c r="H1246" s="79">
        <f t="shared" si="39"/>
        <v>-2.2582837663372565E-3</v>
      </c>
    </row>
    <row r="1247" spans="2:8">
      <c r="B1247" s="76">
        <v>44903</v>
      </c>
      <c r="C1247" s="77">
        <v>66.410004000000001</v>
      </c>
      <c r="D1247" s="79">
        <f t="shared" si="38"/>
        <v>1.4357766696841877E-2</v>
      </c>
      <c r="F1247" s="76">
        <v>44903</v>
      </c>
      <c r="G1247" s="78">
        <v>48.990001999999997</v>
      </c>
      <c r="H1247" s="79">
        <f t="shared" si="39"/>
        <v>8.0247739927890027E-3</v>
      </c>
    </row>
    <row r="1248" spans="2:8">
      <c r="B1248" s="76">
        <v>44904</v>
      </c>
      <c r="C1248" s="77">
        <v>65.360000999999997</v>
      </c>
      <c r="D1248" s="79">
        <f t="shared" si="38"/>
        <v>-1.5810916078246341E-2</v>
      </c>
      <c r="F1248" s="76">
        <v>44904</v>
      </c>
      <c r="G1248" s="78">
        <v>48.619999</v>
      </c>
      <c r="H1248" s="79">
        <f t="shared" si="39"/>
        <v>-7.5526226759492065E-3</v>
      </c>
    </row>
    <row r="1249" spans="2:8">
      <c r="B1249" s="76">
        <v>44907</v>
      </c>
      <c r="C1249" s="77">
        <v>66.480002999999996</v>
      </c>
      <c r="D1249" s="79">
        <f t="shared" si="38"/>
        <v>1.713589325067482E-2</v>
      </c>
      <c r="F1249" s="76">
        <v>44907</v>
      </c>
      <c r="G1249" s="78">
        <v>49.259998000000003</v>
      </c>
      <c r="H1249" s="79">
        <f t="shared" si="39"/>
        <v>1.3163286984024889E-2</v>
      </c>
    </row>
    <row r="1250" spans="2:8">
      <c r="B1250" s="76">
        <v>44908</v>
      </c>
      <c r="C1250" s="77">
        <v>67.389999000000003</v>
      </c>
      <c r="D1250" s="79">
        <f t="shared" si="38"/>
        <v>1.3688266530312984E-2</v>
      </c>
      <c r="F1250" s="76">
        <v>44908</v>
      </c>
      <c r="G1250" s="78">
        <v>49.639999000000003</v>
      </c>
      <c r="H1250" s="79">
        <f t="shared" si="39"/>
        <v>7.7141903253832855E-3</v>
      </c>
    </row>
    <row r="1251" spans="2:8">
      <c r="B1251" s="76">
        <v>44909</v>
      </c>
      <c r="C1251" s="77">
        <v>67.650002000000001</v>
      </c>
      <c r="D1251" s="79">
        <f t="shared" si="38"/>
        <v>3.8581837640329617E-3</v>
      </c>
      <c r="F1251" s="76">
        <v>44909</v>
      </c>
      <c r="G1251" s="78">
        <v>49.360000999999997</v>
      </c>
      <c r="H1251" s="79">
        <f t="shared" si="39"/>
        <v>-5.6405722328883639E-3</v>
      </c>
    </row>
    <row r="1252" spans="2:8">
      <c r="B1252" s="76">
        <v>44910</v>
      </c>
      <c r="C1252" s="77">
        <v>68.269997000000004</v>
      </c>
      <c r="D1252" s="79">
        <f t="shared" si="38"/>
        <v>9.1647447401406283E-3</v>
      </c>
      <c r="F1252" s="76">
        <v>44910</v>
      </c>
      <c r="G1252" s="78">
        <v>48.119999</v>
      </c>
      <c r="H1252" s="79">
        <f t="shared" si="39"/>
        <v>-2.5121595925413312E-2</v>
      </c>
    </row>
    <row r="1253" spans="2:8">
      <c r="B1253" s="76">
        <v>44911</v>
      </c>
      <c r="C1253" s="77">
        <v>67.540001000000004</v>
      </c>
      <c r="D1253" s="79">
        <f t="shared" si="38"/>
        <v>-1.0692779142790937E-2</v>
      </c>
      <c r="F1253" s="76">
        <v>44911</v>
      </c>
      <c r="G1253" s="78">
        <v>47.549999</v>
      </c>
      <c r="H1253" s="79">
        <f t="shared" si="39"/>
        <v>-1.1845386779829324E-2</v>
      </c>
    </row>
    <row r="1254" spans="2:8">
      <c r="B1254" s="76">
        <v>44914</v>
      </c>
      <c r="C1254" s="77">
        <v>65.599997999999999</v>
      </c>
      <c r="D1254" s="79">
        <f t="shared" si="38"/>
        <v>-2.8723763270302651E-2</v>
      </c>
      <c r="F1254" s="76">
        <v>44914</v>
      </c>
      <c r="G1254" s="78">
        <v>46.919998</v>
      </c>
      <c r="H1254" s="79">
        <f t="shared" si="39"/>
        <v>-1.3249232665599006E-2</v>
      </c>
    </row>
    <row r="1255" spans="2:8">
      <c r="B1255" s="76">
        <v>44915</v>
      </c>
      <c r="C1255" s="77">
        <v>65.309997999999993</v>
      </c>
      <c r="D1255" s="79">
        <f t="shared" si="38"/>
        <v>-4.420731842095578E-3</v>
      </c>
      <c r="F1255" s="76">
        <v>44915</v>
      </c>
      <c r="G1255" s="78">
        <v>47</v>
      </c>
      <c r="H1255" s="79">
        <f t="shared" si="39"/>
        <v>1.7050725364481122E-3</v>
      </c>
    </row>
    <row r="1256" spans="2:8">
      <c r="B1256" s="76">
        <v>44916</v>
      </c>
      <c r="C1256" s="77">
        <v>66.150002000000001</v>
      </c>
      <c r="D1256" s="79">
        <f t="shared" si="38"/>
        <v>1.2861797974637936E-2</v>
      </c>
      <c r="F1256" s="76">
        <v>44916</v>
      </c>
      <c r="G1256" s="78">
        <v>47.720001000000003</v>
      </c>
      <c r="H1256" s="79">
        <f t="shared" si="39"/>
        <v>1.531917021276603E-2</v>
      </c>
    </row>
    <row r="1257" spans="2:8">
      <c r="B1257" s="76">
        <v>44917</v>
      </c>
      <c r="C1257" s="77">
        <v>65.029999000000004</v>
      </c>
      <c r="D1257" s="79">
        <f t="shared" si="38"/>
        <v>-1.6931261770785692E-2</v>
      </c>
      <c r="F1257" s="76">
        <v>44917</v>
      </c>
      <c r="G1257" s="78">
        <v>47.07</v>
      </c>
      <c r="H1257" s="79">
        <f t="shared" si="39"/>
        <v>-1.3621143888911551E-2</v>
      </c>
    </row>
    <row r="1258" spans="2:8">
      <c r="B1258" s="76">
        <v>44918</v>
      </c>
      <c r="C1258" s="77">
        <v>65.300003000000004</v>
      </c>
      <c r="D1258" s="79">
        <f t="shared" si="38"/>
        <v>4.1519914524372073E-3</v>
      </c>
      <c r="F1258" s="76">
        <v>44918</v>
      </c>
      <c r="G1258" s="78">
        <v>47.349997999999999</v>
      </c>
      <c r="H1258" s="79">
        <f t="shared" si="39"/>
        <v>5.948544720628831E-3</v>
      </c>
    </row>
    <row r="1259" spans="2:8">
      <c r="B1259" s="76">
        <v>44922</v>
      </c>
      <c r="C1259" s="77">
        <v>65.150002000000001</v>
      </c>
      <c r="D1259" s="79">
        <f t="shared" si="38"/>
        <v>-2.2971055606230699E-3</v>
      </c>
      <c r="F1259" s="76">
        <v>44922</v>
      </c>
      <c r="G1259" s="78">
        <v>47.169998</v>
      </c>
      <c r="H1259" s="79">
        <f t="shared" si="39"/>
        <v>-3.8014785132620219E-3</v>
      </c>
    </row>
    <row r="1260" spans="2:8">
      <c r="B1260" s="76">
        <v>44923</v>
      </c>
      <c r="C1260" s="77">
        <v>63.52</v>
      </c>
      <c r="D1260" s="79">
        <f t="shared" si="38"/>
        <v>-2.5019216423047809E-2</v>
      </c>
      <c r="F1260" s="76">
        <v>44923</v>
      </c>
      <c r="G1260" s="78">
        <v>46.529998999999997</v>
      </c>
      <c r="H1260" s="79">
        <f t="shared" si="39"/>
        <v>-1.3567925103579676E-2</v>
      </c>
    </row>
    <row r="1261" spans="2:8">
      <c r="B1261" s="76">
        <v>44924</v>
      </c>
      <c r="C1261" s="77">
        <v>65.199996999999996</v>
      </c>
      <c r="D1261" s="79">
        <f t="shared" si="38"/>
        <v>2.6448315491183767E-2</v>
      </c>
      <c r="F1261" s="76">
        <v>44924</v>
      </c>
      <c r="G1261" s="78">
        <v>47.419998</v>
      </c>
      <c r="H1261" s="79">
        <f t="shared" si="39"/>
        <v>1.9127423578925998E-2</v>
      </c>
    </row>
    <row r="1262" spans="2:8">
      <c r="B1262" s="76">
        <v>44925</v>
      </c>
      <c r="C1262" s="77">
        <v>64.879997000000003</v>
      </c>
      <c r="D1262" s="79">
        <f t="shared" si="38"/>
        <v>-4.9079756859496974E-3</v>
      </c>
      <c r="F1262" s="76">
        <v>44925</v>
      </c>
      <c r="G1262" s="78">
        <v>47.290000999999997</v>
      </c>
      <c r="H1262" s="79">
        <f t="shared" si="39"/>
        <v>-2.7413961510500914E-3</v>
      </c>
    </row>
    <row r="1263" spans="2:8">
      <c r="B1263" s="76">
        <v>44929</v>
      </c>
      <c r="C1263" s="77">
        <v>65.349997999999999</v>
      </c>
      <c r="D1263" s="79">
        <f t="shared" si="38"/>
        <v>7.2441587813266437E-3</v>
      </c>
      <c r="F1263" s="76">
        <v>44929</v>
      </c>
      <c r="G1263" s="78">
        <v>47.110000999999997</v>
      </c>
      <c r="H1263" s="79">
        <f t="shared" si="39"/>
        <v>-3.8063014631782252E-3</v>
      </c>
    </row>
    <row r="1264" spans="2:8">
      <c r="B1264" s="76">
        <v>44930</v>
      </c>
      <c r="C1264" s="77">
        <v>66.669998000000007</v>
      </c>
      <c r="D1264" s="79">
        <f t="shared" si="38"/>
        <v>2.019892946285947E-2</v>
      </c>
      <c r="F1264" s="76">
        <v>44930</v>
      </c>
      <c r="G1264" s="78">
        <v>47.5</v>
      </c>
      <c r="H1264" s="79">
        <f t="shared" si="39"/>
        <v>8.2784757317242077E-3</v>
      </c>
    </row>
    <row r="1265" spans="2:8">
      <c r="B1265" s="76">
        <v>44931</v>
      </c>
      <c r="C1265" s="77">
        <v>66.510002</v>
      </c>
      <c r="D1265" s="79">
        <f t="shared" si="38"/>
        <v>-2.399820080990653E-3</v>
      </c>
      <c r="F1265" s="76">
        <v>44931</v>
      </c>
      <c r="G1265" s="78">
        <v>46.970001000000003</v>
      </c>
      <c r="H1265" s="79">
        <f t="shared" si="39"/>
        <v>-1.1157873684210454E-2</v>
      </c>
    </row>
    <row r="1266" spans="2:8">
      <c r="B1266" s="76">
        <v>44932</v>
      </c>
      <c r="C1266" s="77">
        <v>67.239998</v>
      </c>
      <c r="D1266" s="79">
        <f t="shared" si="38"/>
        <v>1.0975732642437747E-2</v>
      </c>
      <c r="F1266" s="76">
        <v>44932</v>
      </c>
      <c r="G1266" s="78">
        <v>48.009998000000003</v>
      </c>
      <c r="H1266" s="79">
        <f t="shared" si="39"/>
        <v>2.2141728291638733E-2</v>
      </c>
    </row>
    <row r="1267" spans="2:8">
      <c r="B1267" s="76">
        <v>44935</v>
      </c>
      <c r="C1267" s="77">
        <v>67.050003000000004</v>
      </c>
      <c r="D1267" s="79">
        <f t="shared" si="38"/>
        <v>-2.8256247122433902E-3</v>
      </c>
      <c r="F1267" s="76">
        <v>44935</v>
      </c>
      <c r="G1267" s="78">
        <v>47.990001999999997</v>
      </c>
      <c r="H1267" s="79">
        <f t="shared" si="39"/>
        <v>-4.1649658056653363E-4</v>
      </c>
    </row>
    <row r="1268" spans="2:8">
      <c r="B1268" s="76">
        <v>44936</v>
      </c>
      <c r="C1268" s="77">
        <v>67.339995999999999</v>
      </c>
      <c r="D1268" s="79">
        <f t="shared" si="38"/>
        <v>4.3250259064118984E-3</v>
      </c>
      <c r="F1268" s="76">
        <v>44936</v>
      </c>
      <c r="G1268" s="78">
        <v>48.369999</v>
      </c>
      <c r="H1268" s="79">
        <f t="shared" si="39"/>
        <v>7.9182534728796852E-3</v>
      </c>
    </row>
    <row r="1269" spans="2:8">
      <c r="B1269" s="76">
        <v>44937</v>
      </c>
      <c r="C1269" s="77">
        <v>68.779999000000004</v>
      </c>
      <c r="D1269" s="79">
        <f t="shared" si="38"/>
        <v>2.1384067204280863E-2</v>
      </c>
      <c r="F1269" s="76">
        <v>44937</v>
      </c>
      <c r="G1269" s="78">
        <v>48.98</v>
      </c>
      <c r="H1269" s="79">
        <f t="shared" si="39"/>
        <v>1.2611143531344644E-2</v>
      </c>
    </row>
    <row r="1270" spans="2:8">
      <c r="B1270" s="76">
        <v>44938</v>
      </c>
      <c r="C1270" s="77">
        <v>70.220000999999996</v>
      </c>
      <c r="D1270" s="79">
        <f t="shared" si="38"/>
        <v>2.0936348079911904E-2</v>
      </c>
      <c r="F1270" s="76">
        <v>44938</v>
      </c>
      <c r="G1270" s="78">
        <v>49.130001</v>
      </c>
      <c r="H1270" s="79">
        <f t="shared" si="39"/>
        <v>3.0624948958759323E-3</v>
      </c>
    </row>
    <row r="1271" spans="2:8">
      <c r="B1271" s="76">
        <v>44939</v>
      </c>
      <c r="C1271" s="77">
        <v>71.930000000000007</v>
      </c>
      <c r="D1271" s="79">
        <f t="shared" si="38"/>
        <v>2.4352021869096963E-2</v>
      </c>
      <c r="F1271" s="76">
        <v>44939</v>
      </c>
      <c r="G1271" s="78">
        <v>49.369999</v>
      </c>
      <c r="H1271" s="79">
        <f t="shared" si="39"/>
        <v>4.8849581745377931E-3</v>
      </c>
    </row>
    <row r="1272" spans="2:8">
      <c r="B1272" s="76">
        <v>44943</v>
      </c>
      <c r="C1272" s="77">
        <v>71.739998</v>
      </c>
      <c r="D1272" s="79">
        <f t="shared" si="38"/>
        <v>-2.6414847768664934E-3</v>
      </c>
      <c r="F1272" s="76">
        <v>44943</v>
      </c>
      <c r="G1272" s="78">
        <v>49.279998999999997</v>
      </c>
      <c r="H1272" s="79">
        <f t="shared" si="39"/>
        <v>-1.8229694515489742E-3</v>
      </c>
    </row>
    <row r="1273" spans="2:8">
      <c r="B1273" s="76">
        <v>44944</v>
      </c>
      <c r="C1273" s="77">
        <v>71.690002000000007</v>
      </c>
      <c r="D1273" s="79">
        <f t="shared" si="38"/>
        <v>-6.9690551148319027E-4</v>
      </c>
      <c r="F1273" s="76">
        <v>44944</v>
      </c>
      <c r="G1273" s="78">
        <v>48.529998999999997</v>
      </c>
      <c r="H1273" s="79">
        <f t="shared" si="39"/>
        <v>-1.5219156152986125E-2</v>
      </c>
    </row>
    <row r="1274" spans="2:8">
      <c r="B1274" s="76">
        <v>44945</v>
      </c>
      <c r="C1274" s="77">
        <v>69.5</v>
      </c>
      <c r="D1274" s="79">
        <f t="shared" si="38"/>
        <v>-3.0548220657045131E-2</v>
      </c>
      <c r="F1274" s="76">
        <v>44945</v>
      </c>
      <c r="G1274" s="78">
        <v>48.150002000000001</v>
      </c>
      <c r="H1274" s="79">
        <f t="shared" si="39"/>
        <v>-7.8301464626033875E-3</v>
      </c>
    </row>
    <row r="1275" spans="2:8">
      <c r="B1275" s="76">
        <v>44946</v>
      </c>
      <c r="C1275" s="77">
        <v>70.980002999999996</v>
      </c>
      <c r="D1275" s="79">
        <f t="shared" si="38"/>
        <v>2.1295007194244552E-2</v>
      </c>
      <c r="F1275" s="76">
        <v>44946</v>
      </c>
      <c r="G1275" s="78">
        <v>49.040000999999997</v>
      </c>
      <c r="H1275" s="79">
        <f t="shared" si="39"/>
        <v>1.8483882929018279E-2</v>
      </c>
    </row>
    <row r="1276" spans="2:8">
      <c r="B1276" s="76">
        <v>44949</v>
      </c>
      <c r="C1276" s="77">
        <v>72.459998999999996</v>
      </c>
      <c r="D1276" s="79">
        <f t="shared" si="38"/>
        <v>2.0850886692692871E-2</v>
      </c>
      <c r="F1276" s="76">
        <v>44949</v>
      </c>
      <c r="G1276" s="78">
        <v>49.599997999999999</v>
      </c>
      <c r="H1276" s="79">
        <f t="shared" si="39"/>
        <v>1.1419188184763757E-2</v>
      </c>
    </row>
    <row r="1277" spans="2:8">
      <c r="B1277" s="76">
        <v>44950</v>
      </c>
      <c r="C1277" s="77">
        <v>72.110000999999997</v>
      </c>
      <c r="D1277" s="79">
        <f t="shared" si="38"/>
        <v>-4.8302236382862683E-3</v>
      </c>
      <c r="F1277" s="76">
        <v>44950</v>
      </c>
      <c r="G1277" s="78">
        <v>49.540000999999997</v>
      </c>
      <c r="H1277" s="79">
        <f t="shared" si="39"/>
        <v>-1.2096169842588046E-3</v>
      </c>
    </row>
    <row r="1278" spans="2:8">
      <c r="B1278" s="76">
        <v>44951</v>
      </c>
      <c r="C1278" s="77">
        <v>73.519997000000004</v>
      </c>
      <c r="D1278" s="79">
        <f t="shared" si="38"/>
        <v>1.95534042497102E-2</v>
      </c>
      <c r="F1278" s="76">
        <v>44951</v>
      </c>
      <c r="G1278" s="78">
        <v>49.57</v>
      </c>
      <c r="H1278" s="79">
        <f t="shared" si="39"/>
        <v>6.0555105761914824E-4</v>
      </c>
    </row>
    <row r="1279" spans="2:8">
      <c r="B1279" s="76">
        <v>44952</v>
      </c>
      <c r="C1279" s="77">
        <v>75.680000000000007</v>
      </c>
      <c r="D1279" s="79">
        <f t="shared" si="38"/>
        <v>2.9379802613430508E-2</v>
      </c>
      <c r="F1279" s="76">
        <v>44952</v>
      </c>
      <c r="G1279" s="78">
        <v>50.139999000000003</v>
      </c>
      <c r="H1279" s="79">
        <f t="shared" si="39"/>
        <v>1.1498870284446294E-2</v>
      </c>
    </row>
    <row r="1280" spans="2:8">
      <c r="B1280" s="76">
        <v>44953</v>
      </c>
      <c r="C1280" s="77">
        <v>77.330001999999993</v>
      </c>
      <c r="D1280" s="79">
        <f t="shared" si="38"/>
        <v>2.1802352008456479E-2</v>
      </c>
      <c r="F1280" s="76">
        <v>44953</v>
      </c>
      <c r="G1280" s="78">
        <v>50.240001999999997</v>
      </c>
      <c r="H1280" s="79">
        <f t="shared" si="39"/>
        <v>1.9944755084656831E-3</v>
      </c>
    </row>
    <row r="1281" spans="2:8">
      <c r="B1281" s="76">
        <v>44956</v>
      </c>
      <c r="C1281" s="77">
        <v>76.720000999999996</v>
      </c>
      <c r="D1281" s="79">
        <f t="shared" si="38"/>
        <v>-7.8882837737414904E-3</v>
      </c>
      <c r="F1281" s="76">
        <v>44956</v>
      </c>
      <c r="G1281" s="78">
        <v>49.599997999999999</v>
      </c>
      <c r="H1281" s="79">
        <f t="shared" si="39"/>
        <v>-1.2738932613895948E-2</v>
      </c>
    </row>
    <row r="1282" spans="2:8">
      <c r="B1282" s="76">
        <v>44957</v>
      </c>
      <c r="C1282" s="77">
        <v>79.699996999999996</v>
      </c>
      <c r="D1282" s="79">
        <f t="shared" si="38"/>
        <v>3.88424916730645E-2</v>
      </c>
      <c r="F1282" s="76">
        <v>44957</v>
      </c>
      <c r="G1282" s="78">
        <v>50.360000999999997</v>
      </c>
      <c r="H1282" s="79">
        <f t="shared" si="39"/>
        <v>1.5322641746880666E-2</v>
      </c>
    </row>
    <row r="1283" spans="2:8">
      <c r="B1283" s="76">
        <v>44958</v>
      </c>
      <c r="C1283" s="77">
        <v>81.540001000000004</v>
      </c>
      <c r="D1283" s="79">
        <f t="shared" si="38"/>
        <v>2.3086625712169195E-2</v>
      </c>
      <c r="F1283" s="76">
        <v>44958</v>
      </c>
      <c r="G1283" s="78">
        <v>50.91</v>
      </c>
      <c r="H1283" s="79">
        <f t="shared" si="39"/>
        <v>1.0921346089727038E-2</v>
      </c>
    </row>
    <row r="1284" spans="2:8">
      <c r="B1284" s="76">
        <v>44959</v>
      </c>
      <c r="C1284" s="77">
        <v>84.239998</v>
      </c>
      <c r="D1284" s="79">
        <f t="shared" si="38"/>
        <v>3.3112545583608662E-2</v>
      </c>
      <c r="F1284" s="76">
        <v>44959</v>
      </c>
      <c r="G1284" s="78">
        <v>51.650002000000001</v>
      </c>
      <c r="H1284" s="79">
        <f t="shared" si="39"/>
        <v>1.4535494009035633E-2</v>
      </c>
    </row>
    <row r="1285" spans="2:8">
      <c r="B1285" s="76">
        <v>44960</v>
      </c>
      <c r="C1285" s="77">
        <v>82.099997999999999</v>
      </c>
      <c r="D1285" s="79">
        <f t="shared" si="38"/>
        <v>-2.5403609340066705E-2</v>
      </c>
      <c r="F1285" s="76">
        <v>44960</v>
      </c>
      <c r="G1285" s="78">
        <v>51.189999</v>
      </c>
      <c r="H1285" s="79">
        <f t="shared" si="39"/>
        <v>-8.9061564799165042E-3</v>
      </c>
    </row>
    <row r="1286" spans="2:8">
      <c r="B1286" s="76">
        <v>44963</v>
      </c>
      <c r="C1286" s="77">
        <v>81.949996999999996</v>
      </c>
      <c r="D1286" s="79">
        <f t="shared" ref="D1286:D1349" si="40">(C1286-C1285)/C1285</f>
        <v>-1.8270524196602679E-3</v>
      </c>
      <c r="F1286" s="76">
        <v>44963</v>
      </c>
      <c r="G1286" s="78">
        <v>50.84</v>
      </c>
      <c r="H1286" s="79">
        <f t="shared" ref="H1286:H1349" si="41">(G1286-G1285)/G1285</f>
        <v>-6.8372535033649215E-3</v>
      </c>
    </row>
    <row r="1287" spans="2:8">
      <c r="B1287" s="76">
        <v>44964</v>
      </c>
      <c r="C1287" s="77">
        <v>81.870002999999997</v>
      </c>
      <c r="D1287" s="79">
        <f t="shared" si="40"/>
        <v>-9.7613182340933137E-4</v>
      </c>
      <c r="F1287" s="76">
        <v>44964</v>
      </c>
      <c r="G1287" s="78">
        <v>51.470001000000003</v>
      </c>
      <c r="H1287" s="79">
        <f t="shared" si="41"/>
        <v>1.2391837136113297E-2</v>
      </c>
    </row>
    <row r="1288" spans="2:8">
      <c r="B1288" s="76">
        <v>44965</v>
      </c>
      <c r="C1288" s="77">
        <v>81.699996999999996</v>
      </c>
      <c r="D1288" s="79">
        <f t="shared" si="40"/>
        <v>-2.0765358955709429E-3</v>
      </c>
      <c r="F1288" s="76">
        <v>44965</v>
      </c>
      <c r="G1288" s="78">
        <v>50.869999</v>
      </c>
      <c r="H1288" s="79">
        <f t="shared" si="41"/>
        <v>-1.1657314714254687E-2</v>
      </c>
    </row>
    <row r="1289" spans="2:8">
      <c r="B1289" s="76">
        <v>44966</v>
      </c>
      <c r="C1289" s="77">
        <v>80.309997999999993</v>
      </c>
      <c r="D1289" s="79">
        <f t="shared" si="40"/>
        <v>-1.701345227711579E-2</v>
      </c>
      <c r="F1289" s="76">
        <v>44966</v>
      </c>
      <c r="G1289" s="78">
        <v>50.419998</v>
      </c>
      <c r="H1289" s="79">
        <f t="shared" si="41"/>
        <v>-8.8460980704953493E-3</v>
      </c>
    </row>
    <row r="1290" spans="2:8">
      <c r="B1290" s="76">
        <v>44967</v>
      </c>
      <c r="C1290" s="77">
        <v>80.319999999999993</v>
      </c>
      <c r="D1290" s="79">
        <f t="shared" si="40"/>
        <v>1.2454240130849048E-4</v>
      </c>
      <c r="F1290" s="76">
        <v>44967</v>
      </c>
      <c r="G1290" s="78">
        <v>50.560001</v>
      </c>
      <c r="H1290" s="79">
        <f t="shared" si="41"/>
        <v>2.7767355325956202E-3</v>
      </c>
    </row>
    <row r="1291" spans="2:8">
      <c r="B1291" s="76">
        <v>44970</v>
      </c>
      <c r="C1291" s="77">
        <v>81.720000999999996</v>
      </c>
      <c r="D1291" s="79">
        <f t="shared" si="40"/>
        <v>1.7430291334661396E-2</v>
      </c>
      <c r="F1291" s="76">
        <v>44970</v>
      </c>
      <c r="G1291" s="78">
        <v>51.150002000000001</v>
      </c>
      <c r="H1291" s="79">
        <f t="shared" si="41"/>
        <v>1.1669323345147895E-2</v>
      </c>
    </row>
    <row r="1292" spans="2:8">
      <c r="B1292" s="76">
        <v>44971</v>
      </c>
      <c r="C1292" s="77">
        <v>82.279999000000004</v>
      </c>
      <c r="D1292" s="79">
        <f t="shared" si="40"/>
        <v>6.8526430879511041E-3</v>
      </c>
      <c r="F1292" s="76">
        <v>44971</v>
      </c>
      <c r="G1292" s="78">
        <v>51.099997999999999</v>
      </c>
      <c r="H1292" s="79">
        <f t="shared" si="41"/>
        <v>-9.7759526969326939E-4</v>
      </c>
    </row>
    <row r="1293" spans="2:8">
      <c r="B1293" s="76">
        <v>44972</v>
      </c>
      <c r="C1293" s="77">
        <v>83.779999000000004</v>
      </c>
      <c r="D1293" s="79">
        <f t="shared" si="40"/>
        <v>1.8230432890501129E-2</v>
      </c>
      <c r="F1293" s="76">
        <v>44972</v>
      </c>
      <c r="G1293" s="78">
        <v>51.310001</v>
      </c>
      <c r="H1293" s="79">
        <f t="shared" si="41"/>
        <v>4.1096479103580469E-3</v>
      </c>
    </row>
    <row r="1294" spans="2:8">
      <c r="B1294" s="76">
        <v>44973</v>
      </c>
      <c r="C1294" s="77">
        <v>82.5</v>
      </c>
      <c r="D1294" s="79">
        <f t="shared" si="40"/>
        <v>-1.5278097580306771E-2</v>
      </c>
      <c r="F1294" s="76">
        <v>44973</v>
      </c>
      <c r="G1294" s="78">
        <v>50.610000999999997</v>
      </c>
      <c r="H1294" s="79">
        <f t="shared" si="41"/>
        <v>-1.3642564536297764E-2</v>
      </c>
    </row>
    <row r="1295" spans="2:8">
      <c r="B1295" s="76">
        <v>44974</v>
      </c>
      <c r="C1295" s="77">
        <v>81.480002999999996</v>
      </c>
      <c r="D1295" s="79">
        <f t="shared" si="40"/>
        <v>-1.2363600000000044E-2</v>
      </c>
      <c r="F1295" s="76">
        <v>44974</v>
      </c>
      <c r="G1295" s="78">
        <v>50.52</v>
      </c>
      <c r="H1295" s="79">
        <f t="shared" si="41"/>
        <v>-1.7783244066719892E-3</v>
      </c>
    </row>
    <row r="1296" spans="2:8">
      <c r="B1296" s="76">
        <v>44978</v>
      </c>
      <c r="C1296" s="77">
        <v>76.769997000000004</v>
      </c>
      <c r="D1296" s="79">
        <f t="shared" si="40"/>
        <v>-5.7805667974754407E-2</v>
      </c>
      <c r="F1296" s="76">
        <v>44978</v>
      </c>
      <c r="G1296" s="78">
        <v>49.470001000000003</v>
      </c>
      <c r="H1296" s="79">
        <f t="shared" si="41"/>
        <v>-2.0783828186856684E-2</v>
      </c>
    </row>
    <row r="1297" spans="2:8">
      <c r="B1297" s="76">
        <v>44979</v>
      </c>
      <c r="C1297" s="77">
        <v>78.540001000000004</v>
      </c>
      <c r="D1297" s="79">
        <f t="shared" si="40"/>
        <v>2.3055934208255864E-2</v>
      </c>
      <c r="F1297" s="76">
        <v>44979</v>
      </c>
      <c r="G1297" s="78">
        <v>49.400002000000001</v>
      </c>
      <c r="H1297" s="79">
        <f t="shared" si="41"/>
        <v>-1.4149787464124532E-3</v>
      </c>
    </row>
    <row r="1298" spans="2:8">
      <c r="B1298" s="76">
        <v>44980</v>
      </c>
      <c r="C1298" s="77">
        <v>80.010002</v>
      </c>
      <c r="D1298" s="79">
        <f t="shared" si="40"/>
        <v>1.8716590034166109E-2</v>
      </c>
      <c r="F1298" s="76">
        <v>44980</v>
      </c>
      <c r="G1298" s="78">
        <v>49.650002000000001</v>
      </c>
      <c r="H1298" s="79">
        <f t="shared" si="41"/>
        <v>5.0607285400514762E-3</v>
      </c>
    </row>
    <row r="1299" spans="2:8">
      <c r="B1299" s="76">
        <v>44981</v>
      </c>
      <c r="C1299" s="77">
        <v>80.059997999999993</v>
      </c>
      <c r="D1299" s="79">
        <f t="shared" si="40"/>
        <v>6.2487187539369193E-4</v>
      </c>
      <c r="F1299" s="76">
        <v>44981</v>
      </c>
      <c r="G1299" s="78">
        <v>49.150002000000001</v>
      </c>
      <c r="H1299" s="79">
        <f t="shared" si="41"/>
        <v>-1.0070493048519917E-2</v>
      </c>
    </row>
    <row r="1300" spans="2:8">
      <c r="B1300" s="76">
        <v>44984</v>
      </c>
      <c r="C1300" s="77">
        <v>81.489998</v>
      </c>
      <c r="D1300" s="79">
        <f t="shared" si="40"/>
        <v>1.7861604243357674E-2</v>
      </c>
      <c r="F1300" s="76">
        <v>44984</v>
      </c>
      <c r="G1300" s="78">
        <v>49.299999</v>
      </c>
      <c r="H1300" s="79">
        <f t="shared" si="41"/>
        <v>3.0518208320723782E-3</v>
      </c>
    </row>
    <row r="1301" spans="2:8">
      <c r="B1301" s="76">
        <v>44985</v>
      </c>
      <c r="C1301" s="77">
        <v>84.779999000000004</v>
      </c>
      <c r="D1301" s="79">
        <f t="shared" si="40"/>
        <v>4.0373065170525635E-2</v>
      </c>
      <c r="F1301" s="76">
        <v>44985</v>
      </c>
      <c r="G1301" s="78">
        <v>49.18</v>
      </c>
      <c r="H1301" s="79">
        <f t="shared" si="41"/>
        <v>-2.4340568445041949E-3</v>
      </c>
    </row>
    <row r="1302" spans="2:8">
      <c r="B1302" s="76">
        <v>44986</v>
      </c>
      <c r="C1302" s="77">
        <v>85.760002</v>
      </c>
      <c r="D1302" s="79">
        <f t="shared" si="40"/>
        <v>1.1559365552717173E-2</v>
      </c>
      <c r="F1302" s="76">
        <v>44986</v>
      </c>
      <c r="G1302" s="78">
        <v>48.990001999999997</v>
      </c>
      <c r="H1302" s="79">
        <f t="shared" si="41"/>
        <v>-3.8633184221228706E-3</v>
      </c>
    </row>
    <row r="1303" spans="2:8">
      <c r="B1303" s="76">
        <v>44987</v>
      </c>
      <c r="C1303" s="77">
        <v>86.699996999999996</v>
      </c>
      <c r="D1303" s="79">
        <f t="shared" si="40"/>
        <v>1.0960762337668744E-2</v>
      </c>
      <c r="F1303" s="76">
        <v>44987</v>
      </c>
      <c r="G1303" s="78">
        <v>49.360000999999997</v>
      </c>
      <c r="H1303" s="79">
        <f t="shared" si="41"/>
        <v>7.5525410266364147E-3</v>
      </c>
    </row>
    <row r="1304" spans="2:8">
      <c r="B1304" s="76">
        <v>44988</v>
      </c>
      <c r="C1304" s="77">
        <v>89.18</v>
      </c>
      <c r="D1304" s="79">
        <f t="shared" si="40"/>
        <v>2.8604418521490961E-2</v>
      </c>
      <c r="F1304" s="76">
        <v>44988</v>
      </c>
      <c r="G1304" s="78">
        <v>50.16</v>
      </c>
      <c r="H1304" s="79">
        <f t="shared" si="41"/>
        <v>1.6207434841826681E-2</v>
      </c>
    </row>
    <row r="1305" spans="2:8">
      <c r="B1305" s="76">
        <v>44991</v>
      </c>
      <c r="C1305" s="77">
        <v>87.290001000000004</v>
      </c>
      <c r="D1305" s="79">
        <f t="shared" si="40"/>
        <v>-2.1193081408387562E-2</v>
      </c>
      <c r="F1305" s="76">
        <v>44991</v>
      </c>
      <c r="G1305" s="78">
        <v>50.099997999999999</v>
      </c>
      <c r="H1305" s="79">
        <f t="shared" si="41"/>
        <v>-1.1962121212120659E-3</v>
      </c>
    </row>
    <row r="1306" spans="2:8">
      <c r="B1306" s="76">
        <v>44992</v>
      </c>
      <c r="C1306" s="77">
        <v>86.199996999999996</v>
      </c>
      <c r="D1306" s="79">
        <f t="shared" si="40"/>
        <v>-1.2487157606975025E-2</v>
      </c>
      <c r="F1306" s="76">
        <v>44992</v>
      </c>
      <c r="G1306" s="78">
        <v>49.360000999999997</v>
      </c>
      <c r="H1306" s="79">
        <f t="shared" si="41"/>
        <v>-1.4770399791233573E-2</v>
      </c>
    </row>
    <row r="1307" spans="2:8">
      <c r="B1307" s="76">
        <v>44993</v>
      </c>
      <c r="C1307" s="77">
        <v>86.190002000000007</v>
      </c>
      <c r="D1307" s="79">
        <f t="shared" si="40"/>
        <v>-1.1595128013739164E-4</v>
      </c>
      <c r="F1307" s="76">
        <v>44993</v>
      </c>
      <c r="G1307" s="78">
        <v>49.43</v>
      </c>
      <c r="H1307" s="79">
        <f t="shared" si="41"/>
        <v>1.4181320620314172E-3</v>
      </c>
    </row>
    <row r="1308" spans="2:8">
      <c r="B1308" s="76">
        <v>44994</v>
      </c>
      <c r="C1308" s="77">
        <v>83.809997999999993</v>
      </c>
      <c r="D1308" s="79">
        <f t="shared" si="40"/>
        <v>-2.7613457997135372E-2</v>
      </c>
      <c r="F1308" s="76">
        <v>44994</v>
      </c>
      <c r="G1308" s="78">
        <v>48.48</v>
      </c>
      <c r="H1308" s="79">
        <f t="shared" si="41"/>
        <v>-1.9219097713938961E-2</v>
      </c>
    </row>
    <row r="1309" spans="2:8">
      <c r="B1309" s="76">
        <v>44995</v>
      </c>
      <c r="C1309" s="77">
        <v>81.639999000000003</v>
      </c>
      <c r="D1309" s="79">
        <f t="shared" si="40"/>
        <v>-2.5891887027607259E-2</v>
      </c>
      <c r="F1309" s="76">
        <v>44995</v>
      </c>
      <c r="G1309" s="78">
        <v>47.759998000000003</v>
      </c>
      <c r="H1309" s="79">
        <f t="shared" si="41"/>
        <v>-1.4851526402640137E-2</v>
      </c>
    </row>
    <row r="1310" spans="2:8">
      <c r="B1310" s="76">
        <v>44998</v>
      </c>
      <c r="C1310" s="77">
        <v>79.839995999999999</v>
      </c>
      <c r="D1310" s="79">
        <f t="shared" si="40"/>
        <v>-2.2048052695346109E-2</v>
      </c>
      <c r="F1310" s="76">
        <v>44998</v>
      </c>
      <c r="G1310" s="78">
        <v>47.560001</v>
      </c>
      <c r="H1310" s="79">
        <f t="shared" si="41"/>
        <v>-4.1875420514046772E-3</v>
      </c>
    </row>
    <row r="1311" spans="2:8">
      <c r="B1311" s="76">
        <v>44999</v>
      </c>
      <c r="C1311" s="77">
        <v>81.050003000000004</v>
      </c>
      <c r="D1311" s="79">
        <f t="shared" si="40"/>
        <v>1.5155399055881773E-2</v>
      </c>
      <c r="F1311" s="76">
        <v>44999</v>
      </c>
      <c r="G1311" s="78">
        <v>48.41</v>
      </c>
      <c r="H1311" s="79">
        <f t="shared" si="41"/>
        <v>1.7872140078382184E-2</v>
      </c>
    </row>
    <row r="1312" spans="2:8">
      <c r="B1312" s="76">
        <v>45000</v>
      </c>
      <c r="C1312" s="77">
        <v>79.529999000000004</v>
      </c>
      <c r="D1312" s="79">
        <f t="shared" si="40"/>
        <v>-1.8753904302754931E-2</v>
      </c>
      <c r="F1312" s="76">
        <v>45000</v>
      </c>
      <c r="G1312" s="78">
        <v>48.029998999999997</v>
      </c>
      <c r="H1312" s="79">
        <f t="shared" si="41"/>
        <v>-7.8496385044412326E-3</v>
      </c>
    </row>
    <row r="1313" spans="2:8">
      <c r="B1313" s="76">
        <v>45001</v>
      </c>
      <c r="C1313" s="77">
        <v>82.389999000000003</v>
      </c>
      <c r="D1313" s="79">
        <f t="shared" si="40"/>
        <v>3.5961272927967712E-2</v>
      </c>
      <c r="F1313" s="76">
        <v>45001</v>
      </c>
      <c r="G1313" s="78">
        <v>48.849997999999999</v>
      </c>
      <c r="H1313" s="79">
        <f t="shared" si="41"/>
        <v>1.7072642454146268E-2</v>
      </c>
    </row>
    <row r="1314" spans="2:8">
      <c r="B1314" s="76">
        <v>45002</v>
      </c>
      <c r="C1314" s="77">
        <v>80.089995999999999</v>
      </c>
      <c r="D1314" s="79">
        <f t="shared" si="40"/>
        <v>-2.7916045975434515E-2</v>
      </c>
      <c r="F1314" s="76">
        <v>45002</v>
      </c>
      <c r="G1314" s="78">
        <v>48.200001</v>
      </c>
      <c r="H1314" s="79">
        <f t="shared" si="41"/>
        <v>-1.3305978026856808E-2</v>
      </c>
    </row>
    <row r="1315" spans="2:8">
      <c r="B1315" s="76">
        <v>45005</v>
      </c>
      <c r="C1315" s="77">
        <v>82.019997000000004</v>
      </c>
      <c r="D1315" s="79">
        <f t="shared" si="40"/>
        <v>2.4097903563386421E-2</v>
      </c>
      <c r="F1315" s="76">
        <v>45005</v>
      </c>
      <c r="G1315" s="78">
        <v>48.490001999999997</v>
      </c>
      <c r="H1315" s="79">
        <f t="shared" si="41"/>
        <v>6.0166181324352386E-3</v>
      </c>
    </row>
    <row r="1316" spans="2:8">
      <c r="B1316" s="76">
        <v>45006</v>
      </c>
      <c r="C1316" s="77">
        <v>84.230002999999996</v>
      </c>
      <c r="D1316" s="79">
        <f t="shared" si="40"/>
        <v>2.6944721785346966E-2</v>
      </c>
      <c r="F1316" s="76">
        <v>45006</v>
      </c>
      <c r="G1316" s="78">
        <v>49.189999</v>
      </c>
      <c r="H1316" s="79">
        <f t="shared" si="41"/>
        <v>1.4435903714749348E-2</v>
      </c>
    </row>
    <row r="1317" spans="2:8">
      <c r="B1317" s="76">
        <v>45007</v>
      </c>
      <c r="C1317" s="77">
        <v>83.82</v>
      </c>
      <c r="D1317" s="79">
        <f t="shared" si="40"/>
        <v>-4.8676598052596913E-3</v>
      </c>
      <c r="F1317" s="76">
        <v>45007</v>
      </c>
      <c r="G1317" s="78">
        <v>48.310001</v>
      </c>
      <c r="H1317" s="79">
        <f t="shared" si="41"/>
        <v>-1.7889774708066176E-2</v>
      </c>
    </row>
    <row r="1318" spans="2:8">
      <c r="B1318" s="76">
        <v>45008</v>
      </c>
      <c r="C1318" s="77">
        <v>84.309997999999993</v>
      </c>
      <c r="D1318" s="79">
        <f t="shared" si="40"/>
        <v>5.8458363159150555E-3</v>
      </c>
      <c r="F1318" s="76">
        <v>45008</v>
      </c>
      <c r="G1318" s="78">
        <v>48.439999</v>
      </c>
      <c r="H1318" s="79">
        <f t="shared" si="41"/>
        <v>2.6909127987805362E-3</v>
      </c>
    </row>
    <row r="1319" spans="2:8">
      <c r="B1319" s="76">
        <v>45009</v>
      </c>
      <c r="C1319" s="77">
        <v>84.459998999999996</v>
      </c>
      <c r="D1319" s="79">
        <f t="shared" si="40"/>
        <v>1.7791602841694192E-3</v>
      </c>
      <c r="F1319" s="76">
        <v>45009</v>
      </c>
      <c r="G1319" s="78">
        <v>48.759998000000003</v>
      </c>
      <c r="H1319" s="79">
        <f t="shared" si="41"/>
        <v>6.6060901446344539E-3</v>
      </c>
    </row>
    <row r="1320" spans="2:8">
      <c r="B1320" s="76">
        <v>45012</v>
      </c>
      <c r="C1320" s="77">
        <v>85.43</v>
      </c>
      <c r="D1320" s="79">
        <f t="shared" si="40"/>
        <v>1.1484738473653198E-2</v>
      </c>
      <c r="F1320" s="76">
        <v>45012</v>
      </c>
      <c r="G1320" s="78">
        <v>48.849997999999999</v>
      </c>
      <c r="H1320" s="79">
        <f t="shared" si="41"/>
        <v>1.8457753013032588E-3</v>
      </c>
    </row>
    <row r="1321" spans="2:8">
      <c r="B1321" s="76">
        <v>45013</v>
      </c>
      <c r="C1321" s="77">
        <v>86.300003000000004</v>
      </c>
      <c r="D1321" s="79">
        <f t="shared" si="40"/>
        <v>1.0183811307503184E-2</v>
      </c>
      <c r="F1321" s="76">
        <v>45013</v>
      </c>
      <c r="G1321" s="78">
        <v>48.799999</v>
      </c>
      <c r="H1321" s="79">
        <f t="shared" si="41"/>
        <v>-1.0235210245044368E-3</v>
      </c>
    </row>
    <row r="1322" spans="2:8">
      <c r="B1322" s="76">
        <v>45014</v>
      </c>
      <c r="C1322" s="77">
        <v>86.459998999999996</v>
      </c>
      <c r="D1322" s="79">
        <f t="shared" si="40"/>
        <v>1.8539512681128468E-3</v>
      </c>
      <c r="F1322" s="76">
        <v>45014</v>
      </c>
      <c r="G1322" s="78">
        <v>49.470001000000003</v>
      </c>
      <c r="H1322" s="79">
        <f t="shared" si="41"/>
        <v>1.3729549461671172E-2</v>
      </c>
    </row>
    <row r="1323" spans="2:8">
      <c r="B1323" s="76">
        <v>45015</v>
      </c>
      <c r="C1323" s="77">
        <v>86.25</v>
      </c>
      <c r="D1323" s="79">
        <f t="shared" si="40"/>
        <v>-2.4288573031327038E-3</v>
      </c>
      <c r="F1323" s="76">
        <v>45015</v>
      </c>
      <c r="G1323" s="78">
        <v>49.75</v>
      </c>
      <c r="H1323" s="79">
        <f t="shared" si="41"/>
        <v>5.6599756284621168E-3</v>
      </c>
    </row>
    <row r="1324" spans="2:8">
      <c r="B1324" s="76">
        <v>45016</v>
      </c>
      <c r="C1324" s="77">
        <v>88.779999000000004</v>
      </c>
      <c r="D1324" s="79">
        <f t="shared" si="40"/>
        <v>2.9333321739130478E-2</v>
      </c>
      <c r="F1324" s="76">
        <v>45016</v>
      </c>
      <c r="G1324" s="78">
        <v>50.43</v>
      </c>
      <c r="H1324" s="79">
        <f t="shared" si="41"/>
        <v>1.3668341708542708E-2</v>
      </c>
    </row>
    <row r="1325" spans="2:8">
      <c r="B1325" s="76">
        <v>45019</v>
      </c>
      <c r="C1325" s="77">
        <v>90.160004000000001</v>
      </c>
      <c r="D1325" s="79">
        <f t="shared" si="40"/>
        <v>1.5544097944853513E-2</v>
      </c>
      <c r="F1325" s="76">
        <v>45019</v>
      </c>
      <c r="G1325" s="78">
        <v>50.610000999999997</v>
      </c>
      <c r="H1325" s="79">
        <f t="shared" si="41"/>
        <v>3.5693238151893159E-3</v>
      </c>
    </row>
    <row r="1326" spans="2:8">
      <c r="B1326" s="76">
        <v>45020</v>
      </c>
      <c r="C1326" s="77">
        <v>87.360000999999997</v>
      </c>
      <c r="D1326" s="79">
        <f t="shared" si="40"/>
        <v>-3.1055932517483072E-2</v>
      </c>
      <c r="F1326" s="76">
        <v>45020</v>
      </c>
      <c r="G1326" s="78">
        <v>50.299999</v>
      </c>
      <c r="H1326" s="79">
        <f t="shared" si="41"/>
        <v>-6.1253110822897874E-3</v>
      </c>
    </row>
    <row r="1327" spans="2:8">
      <c r="B1327" s="76">
        <v>45021</v>
      </c>
      <c r="C1327" s="77">
        <v>85.959998999999996</v>
      </c>
      <c r="D1327" s="79">
        <f t="shared" si="40"/>
        <v>-1.6025663735969975E-2</v>
      </c>
      <c r="F1327" s="76">
        <v>45021</v>
      </c>
      <c r="G1327" s="78">
        <v>50.139999000000003</v>
      </c>
      <c r="H1327" s="79">
        <f t="shared" si="41"/>
        <v>-3.1809145761612558E-3</v>
      </c>
    </row>
    <row r="1328" spans="2:8">
      <c r="B1328" s="76">
        <v>45022</v>
      </c>
      <c r="C1328" s="77">
        <v>85.529999000000004</v>
      </c>
      <c r="D1328" s="79">
        <f t="shared" si="40"/>
        <v>-5.0023267217580193E-3</v>
      </c>
      <c r="F1328" s="76">
        <v>45022</v>
      </c>
      <c r="G1328" s="78">
        <v>50.310001</v>
      </c>
      <c r="H1328" s="79">
        <f t="shared" si="41"/>
        <v>3.3905465375058475E-3</v>
      </c>
    </row>
    <row r="1329" spans="2:8">
      <c r="B1329" s="76">
        <v>45026</v>
      </c>
      <c r="C1329" s="77">
        <v>88.620002999999997</v>
      </c>
      <c r="D1329" s="79">
        <f t="shared" si="40"/>
        <v>3.612772168978972E-2</v>
      </c>
      <c r="F1329" s="76">
        <v>45026</v>
      </c>
      <c r="G1329" s="78">
        <v>50.41</v>
      </c>
      <c r="H1329" s="79">
        <f t="shared" si="41"/>
        <v>1.9876564900087527E-3</v>
      </c>
    </row>
    <row r="1330" spans="2:8">
      <c r="B1330" s="76">
        <v>45027</v>
      </c>
      <c r="C1330" s="77">
        <v>92.370002999999997</v>
      </c>
      <c r="D1330" s="79">
        <f t="shared" si="40"/>
        <v>4.2315502968330976E-2</v>
      </c>
      <c r="F1330" s="76">
        <v>45027</v>
      </c>
      <c r="G1330" s="78">
        <v>50.43</v>
      </c>
      <c r="H1330" s="79">
        <f t="shared" si="41"/>
        <v>3.9674667724664013E-4</v>
      </c>
    </row>
    <row r="1331" spans="2:8">
      <c r="B1331" s="76">
        <v>45028</v>
      </c>
      <c r="C1331" s="77">
        <v>92.93</v>
      </c>
      <c r="D1331" s="79">
        <f t="shared" si="40"/>
        <v>6.0625417539502497E-3</v>
      </c>
      <c r="F1331" s="76">
        <v>45028</v>
      </c>
      <c r="G1331" s="78">
        <v>50.259998000000003</v>
      </c>
      <c r="H1331" s="79">
        <f t="shared" si="41"/>
        <v>-3.3710489787824043E-3</v>
      </c>
    </row>
    <row r="1332" spans="2:8">
      <c r="B1332" s="76">
        <v>45029</v>
      </c>
      <c r="C1332" s="77">
        <v>93.339995999999999</v>
      </c>
      <c r="D1332" s="79">
        <f t="shared" si="40"/>
        <v>4.4118799096093024E-3</v>
      </c>
      <c r="F1332" s="76">
        <v>45029</v>
      </c>
      <c r="G1332" s="78">
        <v>50.900002000000001</v>
      </c>
      <c r="H1332" s="79">
        <f t="shared" si="41"/>
        <v>1.2733864414399649E-2</v>
      </c>
    </row>
    <row r="1333" spans="2:8">
      <c r="B1333" s="76">
        <v>45030</v>
      </c>
      <c r="C1333" s="77">
        <v>94.360000999999997</v>
      </c>
      <c r="D1333" s="79">
        <f t="shared" si="40"/>
        <v>1.0927844907985615E-2</v>
      </c>
      <c r="F1333" s="76">
        <v>45030</v>
      </c>
      <c r="G1333" s="78">
        <v>50.790000999999997</v>
      </c>
      <c r="H1333" s="79">
        <f t="shared" si="41"/>
        <v>-2.1611197579128583E-3</v>
      </c>
    </row>
    <row r="1334" spans="2:8">
      <c r="B1334" s="76">
        <v>45033</v>
      </c>
      <c r="C1334" s="77">
        <v>94.300003000000004</v>
      </c>
      <c r="D1334" s="79">
        <f t="shared" si="40"/>
        <v>-6.3584145150648221E-4</v>
      </c>
      <c r="F1334" s="76">
        <v>45033</v>
      </c>
      <c r="G1334" s="78">
        <v>50.939999</v>
      </c>
      <c r="H1334" s="79">
        <f t="shared" si="41"/>
        <v>2.9532978351389213E-3</v>
      </c>
    </row>
    <row r="1335" spans="2:8">
      <c r="B1335" s="76">
        <v>45034</v>
      </c>
      <c r="C1335" s="77">
        <v>96.720000999999996</v>
      </c>
      <c r="D1335" s="79">
        <f t="shared" si="40"/>
        <v>2.5662756341587736E-2</v>
      </c>
      <c r="F1335" s="76">
        <v>45034</v>
      </c>
      <c r="G1335" s="78">
        <v>50.990001999999997</v>
      </c>
      <c r="H1335" s="79">
        <f t="shared" si="41"/>
        <v>9.8160583002753279E-4</v>
      </c>
    </row>
    <row r="1336" spans="2:8">
      <c r="B1336" s="76">
        <v>45035</v>
      </c>
      <c r="C1336" s="77">
        <v>94.470000999999996</v>
      </c>
      <c r="D1336" s="79">
        <f t="shared" si="40"/>
        <v>-2.3263027054766058E-2</v>
      </c>
      <c r="F1336" s="76">
        <v>45035</v>
      </c>
      <c r="G1336" s="78">
        <v>50.98</v>
      </c>
      <c r="H1336" s="79">
        <f t="shared" si="41"/>
        <v>-1.96156101347085E-4</v>
      </c>
    </row>
    <row r="1337" spans="2:8">
      <c r="B1337" s="76">
        <v>45036</v>
      </c>
      <c r="C1337" s="77">
        <v>94.730002999999996</v>
      </c>
      <c r="D1337" s="79">
        <f t="shared" si="40"/>
        <v>2.7522176060948713E-3</v>
      </c>
      <c r="F1337" s="76">
        <v>45036</v>
      </c>
      <c r="G1337" s="78">
        <v>50.68</v>
      </c>
      <c r="H1337" s="79">
        <f t="shared" si="41"/>
        <v>-5.8846606512357232E-3</v>
      </c>
    </row>
    <row r="1338" spans="2:8">
      <c r="B1338" s="76">
        <v>45037</v>
      </c>
      <c r="C1338" s="77">
        <v>93.870002999999997</v>
      </c>
      <c r="D1338" s="79">
        <f t="shared" si="40"/>
        <v>-9.0784331549107998E-3</v>
      </c>
      <c r="F1338" s="76">
        <v>45037</v>
      </c>
      <c r="G1338" s="78">
        <v>50.740001999999997</v>
      </c>
      <c r="H1338" s="79">
        <f t="shared" si="41"/>
        <v>1.1839384372532996E-3</v>
      </c>
    </row>
    <row r="1339" spans="2:8">
      <c r="B1339" s="76">
        <v>45040</v>
      </c>
      <c r="C1339" s="77">
        <v>93.720000999999996</v>
      </c>
      <c r="D1339" s="79">
        <f t="shared" si="40"/>
        <v>-1.5979758730805692E-3</v>
      </c>
      <c r="F1339" s="76">
        <v>45040</v>
      </c>
      <c r="G1339" s="78">
        <v>50.779998999999997</v>
      </c>
      <c r="H1339" s="79">
        <f t="shared" si="41"/>
        <v>7.8827352036761091E-4</v>
      </c>
    </row>
    <row r="1340" spans="2:8">
      <c r="B1340" s="76">
        <v>45041</v>
      </c>
      <c r="C1340" s="77">
        <v>92.389999000000003</v>
      </c>
      <c r="D1340" s="79">
        <f t="shared" si="40"/>
        <v>-1.4191229041920233E-2</v>
      </c>
      <c r="F1340" s="76">
        <v>45041</v>
      </c>
      <c r="G1340" s="78">
        <v>49.959999000000003</v>
      </c>
      <c r="H1340" s="79">
        <f t="shared" si="41"/>
        <v>-1.6148090117134372E-2</v>
      </c>
    </row>
    <row r="1341" spans="2:8">
      <c r="B1341" s="76">
        <v>45042</v>
      </c>
      <c r="C1341" s="77">
        <v>90.339995999999999</v>
      </c>
      <c r="D1341" s="79">
        <f t="shared" si="40"/>
        <v>-2.2188581255423584E-2</v>
      </c>
      <c r="F1341" s="76">
        <v>45042</v>
      </c>
      <c r="G1341" s="78">
        <v>49.75</v>
      </c>
      <c r="H1341" s="79">
        <f t="shared" si="41"/>
        <v>-4.2033427582735408E-3</v>
      </c>
    </row>
    <row r="1342" spans="2:8">
      <c r="B1342" s="76">
        <v>45043</v>
      </c>
      <c r="C1342" s="77">
        <v>92.099997999999999</v>
      </c>
      <c r="D1342" s="79">
        <f t="shared" si="40"/>
        <v>1.948198005233474E-2</v>
      </c>
      <c r="F1342" s="76">
        <v>45043</v>
      </c>
      <c r="G1342" s="78">
        <v>50.720001000000003</v>
      </c>
      <c r="H1342" s="79">
        <f t="shared" si="41"/>
        <v>1.9497507537688512E-2</v>
      </c>
    </row>
    <row r="1343" spans="2:8">
      <c r="B1343" s="76">
        <v>45044</v>
      </c>
      <c r="C1343" s="77">
        <v>94.769997000000004</v>
      </c>
      <c r="D1343" s="79">
        <f t="shared" si="40"/>
        <v>2.8990217784803908E-2</v>
      </c>
      <c r="F1343" s="76">
        <v>45044</v>
      </c>
      <c r="G1343" s="78">
        <v>51.139999000000003</v>
      </c>
      <c r="H1343" s="79">
        <f t="shared" si="41"/>
        <v>8.2807175023517764E-3</v>
      </c>
    </row>
    <row r="1344" spans="2:8">
      <c r="B1344" s="76">
        <v>45047</v>
      </c>
      <c r="C1344" s="77">
        <v>93.849997999999999</v>
      </c>
      <c r="D1344" s="79">
        <f t="shared" si="40"/>
        <v>-9.7077031668578E-3</v>
      </c>
      <c r="F1344" s="76">
        <v>45047</v>
      </c>
      <c r="G1344" s="78">
        <v>51.110000999999997</v>
      </c>
      <c r="H1344" s="79">
        <f t="shared" si="41"/>
        <v>-5.8658585425483065E-4</v>
      </c>
    </row>
    <row r="1345" spans="2:8">
      <c r="B1345" s="76">
        <v>45048</v>
      </c>
      <c r="C1345" s="77">
        <v>95.199996999999996</v>
      </c>
      <c r="D1345" s="79">
        <f t="shared" si="40"/>
        <v>1.4384646017786775E-2</v>
      </c>
      <c r="F1345" s="76">
        <v>45048</v>
      </c>
      <c r="G1345" s="78">
        <v>50.509998000000003</v>
      </c>
      <c r="H1345" s="79">
        <f t="shared" si="41"/>
        <v>-1.173944410605654E-2</v>
      </c>
    </row>
    <row r="1346" spans="2:8">
      <c r="B1346" s="76">
        <v>45049</v>
      </c>
      <c r="C1346" s="77">
        <v>107.459999</v>
      </c>
      <c r="D1346" s="79">
        <f t="shared" si="40"/>
        <v>0.12878153767168712</v>
      </c>
      <c r="F1346" s="76">
        <v>45049</v>
      </c>
      <c r="G1346" s="78">
        <v>50.209999000000003</v>
      </c>
      <c r="H1346" s="79">
        <f t="shared" si="41"/>
        <v>-5.9393983741595014E-3</v>
      </c>
    </row>
    <row r="1347" spans="2:8">
      <c r="B1347" s="76">
        <v>45050</v>
      </c>
      <c r="C1347" s="77">
        <v>106.790001</v>
      </c>
      <c r="D1347" s="79">
        <f t="shared" si="40"/>
        <v>-6.2348595406183892E-3</v>
      </c>
      <c r="F1347" s="76">
        <v>45050</v>
      </c>
      <c r="G1347" s="78">
        <v>49.799999</v>
      </c>
      <c r="H1347" s="79">
        <f t="shared" si="41"/>
        <v>-8.1657042056504248E-3</v>
      </c>
    </row>
    <row r="1348" spans="2:8">
      <c r="B1348" s="76">
        <v>45051</v>
      </c>
      <c r="C1348" s="77">
        <v>111.25</v>
      </c>
      <c r="D1348" s="79">
        <f t="shared" si="40"/>
        <v>4.1764200376774939E-2</v>
      </c>
      <c r="F1348" s="76">
        <v>45051</v>
      </c>
      <c r="G1348" s="78">
        <v>50.740001999999997</v>
      </c>
      <c r="H1348" s="79">
        <f t="shared" si="41"/>
        <v>1.8875562628023292E-2</v>
      </c>
    </row>
    <row r="1349" spans="2:8">
      <c r="B1349" s="76">
        <v>45054</v>
      </c>
      <c r="C1349" s="77">
        <v>113.66999800000001</v>
      </c>
      <c r="D1349" s="79">
        <f t="shared" si="40"/>
        <v>2.1752791011236016E-2</v>
      </c>
      <c r="F1349" s="76">
        <v>45054</v>
      </c>
      <c r="G1349" s="78">
        <v>50.759998000000003</v>
      </c>
      <c r="H1349" s="79">
        <f t="shared" si="41"/>
        <v>3.9408748939359758E-4</v>
      </c>
    </row>
    <row r="1350" spans="2:8">
      <c r="B1350" s="76">
        <v>45055</v>
      </c>
      <c r="C1350" s="77">
        <v>114.650002</v>
      </c>
      <c r="D1350" s="79">
        <f t="shared" ref="D1350:D1413" si="42">(C1350-C1349)/C1349</f>
        <v>8.6214833926538271E-3</v>
      </c>
      <c r="F1350" s="76">
        <v>45055</v>
      </c>
      <c r="G1350" s="78">
        <v>50.529998999999997</v>
      </c>
      <c r="H1350" s="79">
        <f t="shared" ref="H1350:H1413" si="43">(G1350-G1349)/G1349</f>
        <v>-4.5311073495315447E-3</v>
      </c>
    </row>
    <row r="1351" spans="2:8">
      <c r="B1351" s="76">
        <v>45056</v>
      </c>
      <c r="C1351" s="77">
        <v>116.459999</v>
      </c>
      <c r="D1351" s="79">
        <f t="shared" si="42"/>
        <v>1.5787151926957625E-2</v>
      </c>
      <c r="F1351" s="76">
        <v>45056</v>
      </c>
      <c r="G1351" s="78">
        <v>50.700001</v>
      </c>
      <c r="H1351" s="79">
        <f t="shared" si="43"/>
        <v>3.3643776640487123E-3</v>
      </c>
    </row>
    <row r="1352" spans="2:8">
      <c r="B1352" s="76">
        <v>45057</v>
      </c>
      <c r="C1352" s="77">
        <v>117.269997</v>
      </c>
      <c r="D1352" s="79">
        <f t="shared" si="42"/>
        <v>6.9551606298743603E-3</v>
      </c>
      <c r="F1352" s="76">
        <v>45057</v>
      </c>
      <c r="G1352" s="78">
        <v>50.630001</v>
      </c>
      <c r="H1352" s="79">
        <f t="shared" si="43"/>
        <v>-1.3806705842076864E-3</v>
      </c>
    </row>
    <row r="1353" spans="2:8">
      <c r="B1353" s="76">
        <v>45058</v>
      </c>
      <c r="C1353" s="77">
        <v>115.839996</v>
      </c>
      <c r="D1353" s="79">
        <f t="shared" si="42"/>
        <v>-1.2194090872194738E-2</v>
      </c>
      <c r="F1353" s="76">
        <v>45058</v>
      </c>
      <c r="G1353" s="78">
        <v>50.599997999999999</v>
      </c>
      <c r="H1353" s="79">
        <f t="shared" si="43"/>
        <v>-5.9259331241175899E-4</v>
      </c>
    </row>
    <row r="1354" spans="2:8">
      <c r="B1354" s="76">
        <v>45061</v>
      </c>
      <c r="C1354" s="77">
        <v>118.160004</v>
      </c>
      <c r="D1354" s="79">
        <f t="shared" si="42"/>
        <v>2.002769406172978E-2</v>
      </c>
      <c r="F1354" s="76">
        <v>45061</v>
      </c>
      <c r="G1354" s="78">
        <v>50.759998000000003</v>
      </c>
      <c r="H1354" s="79">
        <f t="shared" si="43"/>
        <v>3.1620554609508816E-3</v>
      </c>
    </row>
    <row r="1355" spans="2:8">
      <c r="B1355" s="76">
        <v>45062</v>
      </c>
      <c r="C1355" s="77">
        <v>119.199997</v>
      </c>
      <c r="D1355" s="79">
        <f t="shared" si="42"/>
        <v>8.801565375708649E-3</v>
      </c>
      <c r="F1355" s="76">
        <v>45062</v>
      </c>
      <c r="G1355" s="78">
        <v>50.360000999999997</v>
      </c>
      <c r="H1355" s="79">
        <f t="shared" si="43"/>
        <v>-7.8801618550104376E-3</v>
      </c>
    </row>
    <row r="1356" spans="2:8">
      <c r="B1356" s="76">
        <v>45063</v>
      </c>
      <c r="C1356" s="77">
        <v>120.110001</v>
      </c>
      <c r="D1356" s="79">
        <f t="shared" si="42"/>
        <v>7.6342619371039143E-3</v>
      </c>
      <c r="F1356" s="76">
        <v>45063</v>
      </c>
      <c r="G1356" s="78">
        <v>51.009998000000003</v>
      </c>
      <c r="H1356" s="79">
        <f t="shared" si="43"/>
        <v>1.2907009275079366E-2</v>
      </c>
    </row>
    <row r="1357" spans="2:8">
      <c r="B1357" s="76">
        <v>45064</v>
      </c>
      <c r="C1357" s="77">
        <v>122.30999799999999</v>
      </c>
      <c r="D1357" s="79">
        <f t="shared" si="42"/>
        <v>1.8316518039159756E-2</v>
      </c>
      <c r="F1357" s="76">
        <v>45064</v>
      </c>
      <c r="G1357" s="78">
        <v>51.529998999999997</v>
      </c>
      <c r="H1357" s="79">
        <f t="shared" si="43"/>
        <v>1.0194099595926145E-2</v>
      </c>
    </row>
    <row r="1358" spans="2:8">
      <c r="B1358" s="76">
        <v>45065</v>
      </c>
      <c r="C1358" s="77">
        <v>120.239998</v>
      </c>
      <c r="D1358" s="79">
        <f t="shared" si="42"/>
        <v>-1.6924209253931909E-2</v>
      </c>
      <c r="F1358" s="76">
        <v>45065</v>
      </c>
      <c r="G1358" s="78">
        <v>51.43</v>
      </c>
      <c r="H1358" s="79">
        <f t="shared" si="43"/>
        <v>-1.9405977477313138E-3</v>
      </c>
    </row>
    <row r="1359" spans="2:8">
      <c r="B1359" s="76">
        <v>45068</v>
      </c>
      <c r="C1359" s="77">
        <v>120.16999800000001</v>
      </c>
      <c r="D1359" s="79">
        <f t="shared" si="42"/>
        <v>-5.8216900502604111E-4</v>
      </c>
      <c r="F1359" s="76">
        <v>45068</v>
      </c>
      <c r="G1359" s="78">
        <v>51.439999</v>
      </c>
      <c r="H1359" s="79">
        <f t="shared" si="43"/>
        <v>1.9441959945558108E-4</v>
      </c>
    </row>
    <row r="1360" spans="2:8">
      <c r="B1360" s="76">
        <v>45069</v>
      </c>
      <c r="C1360" s="77">
        <v>113.010002</v>
      </c>
      <c r="D1360" s="79">
        <f t="shared" si="42"/>
        <v>-5.9582226172625936E-2</v>
      </c>
      <c r="F1360" s="76">
        <v>45069</v>
      </c>
      <c r="G1360" s="78">
        <v>50.900002000000001</v>
      </c>
      <c r="H1360" s="79">
        <f t="shared" si="43"/>
        <v>-1.0497609068771552E-2</v>
      </c>
    </row>
    <row r="1361" spans="2:8">
      <c r="B1361" s="76">
        <v>45070</v>
      </c>
      <c r="C1361" s="77">
        <v>114.040001</v>
      </c>
      <c r="D1361" s="79">
        <f t="shared" si="42"/>
        <v>9.1142286680076651E-3</v>
      </c>
      <c r="F1361" s="76">
        <v>45070</v>
      </c>
      <c r="G1361" s="78">
        <v>50.5</v>
      </c>
      <c r="H1361" s="79">
        <f t="shared" si="43"/>
        <v>-7.8585851529043294E-3</v>
      </c>
    </row>
    <row r="1362" spans="2:8">
      <c r="B1362" s="76">
        <v>45071</v>
      </c>
      <c r="C1362" s="77">
        <v>116.790001</v>
      </c>
      <c r="D1362" s="79">
        <f t="shared" si="42"/>
        <v>2.4114345632108507E-2</v>
      </c>
      <c r="F1362" s="76">
        <v>45071</v>
      </c>
      <c r="G1362" s="78">
        <v>50.93</v>
      </c>
      <c r="H1362" s="79">
        <f t="shared" si="43"/>
        <v>8.5148514851485085E-3</v>
      </c>
    </row>
    <row r="1363" spans="2:8">
      <c r="B1363" s="76">
        <v>45072</v>
      </c>
      <c r="C1363" s="77">
        <v>115.58000199999999</v>
      </c>
      <c r="D1363" s="79">
        <f t="shared" si="42"/>
        <v>-1.0360467417069467E-2</v>
      </c>
      <c r="F1363" s="76">
        <v>45072</v>
      </c>
      <c r="G1363" s="78">
        <v>51.560001</v>
      </c>
      <c r="H1363" s="79">
        <f t="shared" si="43"/>
        <v>1.2369939132142157E-2</v>
      </c>
    </row>
    <row r="1364" spans="2:8">
      <c r="B1364" s="76">
        <v>45076</v>
      </c>
      <c r="C1364" s="77">
        <v>117.66999800000001</v>
      </c>
      <c r="D1364" s="79">
        <f t="shared" si="42"/>
        <v>1.8082678351225619E-2</v>
      </c>
      <c r="F1364" s="76">
        <v>45076</v>
      </c>
      <c r="G1364" s="78">
        <v>51.59</v>
      </c>
      <c r="H1364" s="79">
        <f t="shared" si="43"/>
        <v>5.8182698638822102E-4</v>
      </c>
    </row>
    <row r="1365" spans="2:8">
      <c r="B1365" s="76">
        <v>45077</v>
      </c>
      <c r="C1365" s="77">
        <v>115.949997</v>
      </c>
      <c r="D1365" s="79">
        <f t="shared" si="42"/>
        <v>-1.4617158402603274E-2</v>
      </c>
      <c r="F1365" s="76">
        <v>45077</v>
      </c>
      <c r="G1365" s="78">
        <v>51.27</v>
      </c>
      <c r="H1365" s="79">
        <f t="shared" si="43"/>
        <v>-6.2027524714091927E-3</v>
      </c>
    </row>
    <row r="1366" spans="2:8">
      <c r="B1366" s="76">
        <v>45078</v>
      </c>
      <c r="C1366" s="77">
        <v>115.860001</v>
      </c>
      <c r="D1366" s="79">
        <f t="shared" si="42"/>
        <v>-7.7616215893476308E-4</v>
      </c>
      <c r="F1366" s="76">
        <v>45078</v>
      </c>
      <c r="G1366" s="78">
        <v>51.709999000000003</v>
      </c>
      <c r="H1366" s="79">
        <f t="shared" si="43"/>
        <v>8.581997269358304E-3</v>
      </c>
    </row>
    <row r="1367" spans="2:8">
      <c r="B1367" s="76">
        <v>45079</v>
      </c>
      <c r="C1367" s="77">
        <v>118.970001</v>
      </c>
      <c r="D1367" s="79">
        <f t="shared" si="42"/>
        <v>2.6842741007744333E-2</v>
      </c>
      <c r="F1367" s="76">
        <v>45079</v>
      </c>
      <c r="G1367" s="78">
        <v>52.529998999999997</v>
      </c>
      <c r="H1367" s="79">
        <f t="shared" si="43"/>
        <v>1.5857668069187026E-2</v>
      </c>
    </row>
    <row r="1368" spans="2:8">
      <c r="B1368" s="76">
        <v>45082</v>
      </c>
      <c r="C1368" s="77">
        <v>120.33000199999999</v>
      </c>
      <c r="D1368" s="79">
        <f t="shared" si="42"/>
        <v>1.1431461616949948E-2</v>
      </c>
      <c r="F1368" s="76">
        <v>45082</v>
      </c>
      <c r="G1368" s="78">
        <v>52.43</v>
      </c>
      <c r="H1368" s="79">
        <f t="shared" si="43"/>
        <v>-1.9036550904940404E-3</v>
      </c>
    </row>
    <row r="1369" spans="2:8">
      <c r="B1369" s="76">
        <v>45083</v>
      </c>
      <c r="C1369" s="77">
        <v>123.91999800000001</v>
      </c>
      <c r="D1369" s="79">
        <f t="shared" si="42"/>
        <v>2.9834587719860702E-2</v>
      </c>
      <c r="F1369" s="76">
        <v>45083</v>
      </c>
      <c r="G1369" s="78">
        <v>52.630001</v>
      </c>
      <c r="H1369" s="79">
        <f t="shared" si="43"/>
        <v>3.8146290291817724E-3</v>
      </c>
    </row>
    <row r="1370" spans="2:8">
      <c r="B1370" s="76">
        <v>45084</v>
      </c>
      <c r="C1370" s="77">
        <v>122.32</v>
      </c>
      <c r="D1370" s="79">
        <f t="shared" si="42"/>
        <v>-1.291153991141941E-2</v>
      </c>
      <c r="F1370" s="76">
        <v>45084</v>
      </c>
      <c r="G1370" s="78">
        <v>52.509998000000003</v>
      </c>
      <c r="H1370" s="79">
        <f t="shared" si="43"/>
        <v>-2.2801253604383736E-3</v>
      </c>
    </row>
    <row r="1371" spans="2:8">
      <c r="B1371" s="76">
        <v>45085</v>
      </c>
      <c r="C1371" s="77">
        <v>122.30999799999999</v>
      </c>
      <c r="D1371" s="79">
        <f t="shared" si="42"/>
        <v>-8.1769130150425657E-5</v>
      </c>
      <c r="F1371" s="76">
        <v>45085</v>
      </c>
      <c r="G1371" s="78">
        <v>52.82</v>
      </c>
      <c r="H1371" s="79">
        <f t="shared" si="43"/>
        <v>5.9036757152418325E-3</v>
      </c>
    </row>
    <row r="1372" spans="2:8">
      <c r="B1372" s="76">
        <v>45086</v>
      </c>
      <c r="C1372" s="77">
        <v>122.08000199999999</v>
      </c>
      <c r="D1372" s="79">
        <f t="shared" si="42"/>
        <v>-1.8804349910953304E-3</v>
      </c>
      <c r="F1372" s="76">
        <v>45086</v>
      </c>
      <c r="G1372" s="78">
        <v>52.860000999999997</v>
      </c>
      <c r="H1372" s="79">
        <f t="shared" si="43"/>
        <v>7.5730783794011023E-4</v>
      </c>
    </row>
    <row r="1373" spans="2:8">
      <c r="B1373" s="76">
        <v>45089</v>
      </c>
      <c r="C1373" s="77">
        <v>123.730003</v>
      </c>
      <c r="D1373" s="79">
        <f t="shared" si="42"/>
        <v>1.3515735361799905E-2</v>
      </c>
      <c r="F1373" s="76">
        <v>45089</v>
      </c>
      <c r="G1373" s="78">
        <v>53.32</v>
      </c>
      <c r="H1373" s="79">
        <f t="shared" si="43"/>
        <v>8.7022132292430988E-3</v>
      </c>
    </row>
    <row r="1374" spans="2:8">
      <c r="B1374" s="76">
        <v>45090</v>
      </c>
      <c r="C1374" s="77">
        <v>126.019997</v>
      </c>
      <c r="D1374" s="79">
        <f t="shared" si="42"/>
        <v>1.8507992762272926E-2</v>
      </c>
      <c r="F1374" s="76">
        <v>45090</v>
      </c>
      <c r="G1374" s="78">
        <v>53.650002000000001</v>
      </c>
      <c r="H1374" s="79">
        <f t="shared" si="43"/>
        <v>6.189084771192805E-3</v>
      </c>
    </row>
    <row r="1375" spans="2:8">
      <c r="B1375" s="76">
        <v>45091</v>
      </c>
      <c r="C1375" s="77">
        <v>121</v>
      </c>
      <c r="D1375" s="79">
        <f t="shared" si="42"/>
        <v>-3.9834923976390851E-2</v>
      </c>
      <c r="F1375" s="76">
        <v>45091</v>
      </c>
      <c r="G1375" s="78">
        <v>53.689999</v>
      </c>
      <c r="H1375" s="79">
        <f t="shared" si="43"/>
        <v>7.4551721358742196E-4</v>
      </c>
    </row>
    <row r="1376" spans="2:8">
      <c r="B1376" s="76">
        <v>45092</v>
      </c>
      <c r="C1376" s="77">
        <v>123.010002</v>
      </c>
      <c r="D1376" s="79">
        <f t="shared" si="42"/>
        <v>1.6611586776859505E-2</v>
      </c>
      <c r="F1376" s="76">
        <v>45092</v>
      </c>
      <c r="G1376" s="78">
        <v>54.330002</v>
      </c>
      <c r="H1376" s="79">
        <f t="shared" si="43"/>
        <v>1.192033920507244E-2</v>
      </c>
    </row>
    <row r="1377" spans="2:8">
      <c r="B1377" s="76">
        <v>45093</v>
      </c>
      <c r="C1377" s="77">
        <v>121.410004</v>
      </c>
      <c r="D1377" s="79">
        <f t="shared" si="42"/>
        <v>-1.300705612540352E-2</v>
      </c>
      <c r="F1377" s="76">
        <v>45093</v>
      </c>
      <c r="G1377" s="78">
        <v>54.150002000000001</v>
      </c>
      <c r="H1377" s="79">
        <f t="shared" si="43"/>
        <v>-3.3130865704735241E-3</v>
      </c>
    </row>
    <row r="1378" spans="2:8">
      <c r="B1378" s="76">
        <v>45097</v>
      </c>
      <c r="C1378" s="77">
        <v>126.760002</v>
      </c>
      <c r="D1378" s="79">
        <f t="shared" si="42"/>
        <v>4.4065545043553409E-2</v>
      </c>
      <c r="F1378" s="76">
        <v>45097</v>
      </c>
      <c r="G1378" s="78">
        <v>53.700001</v>
      </c>
      <c r="H1378" s="79">
        <f t="shared" si="43"/>
        <v>-8.3102674677648265E-3</v>
      </c>
    </row>
    <row r="1379" spans="2:8">
      <c r="B1379" s="76">
        <v>45098</v>
      </c>
      <c r="C1379" s="77">
        <v>129.10000600000001</v>
      </c>
      <c r="D1379" s="79">
        <f t="shared" si="42"/>
        <v>1.8460113309244089E-2</v>
      </c>
      <c r="F1379" s="76">
        <v>45098</v>
      </c>
      <c r="G1379" s="78">
        <v>53.400002000000001</v>
      </c>
      <c r="H1379" s="79">
        <f t="shared" si="43"/>
        <v>-5.5865734527639896E-3</v>
      </c>
    </row>
    <row r="1380" spans="2:8">
      <c r="B1380" s="76">
        <v>45099</v>
      </c>
      <c r="C1380" s="77">
        <v>127.510002</v>
      </c>
      <c r="D1380" s="79">
        <f t="shared" si="42"/>
        <v>-1.2316064493444001E-2</v>
      </c>
      <c r="F1380" s="76">
        <v>45099</v>
      </c>
      <c r="G1380" s="78">
        <v>53.599997999999999</v>
      </c>
      <c r="H1380" s="79">
        <f t="shared" si="43"/>
        <v>3.7452433054215753E-3</v>
      </c>
    </row>
    <row r="1381" spans="2:8">
      <c r="B1381" s="76">
        <v>45100</v>
      </c>
      <c r="C1381" s="77">
        <v>127.519997</v>
      </c>
      <c r="D1381" s="79">
        <f t="shared" si="42"/>
        <v>7.8386007711014923E-5</v>
      </c>
      <c r="F1381" s="76">
        <v>45100</v>
      </c>
      <c r="G1381" s="78">
        <v>53.169998</v>
      </c>
      <c r="H1381" s="79">
        <f t="shared" si="43"/>
        <v>-8.022388359044336E-3</v>
      </c>
    </row>
    <row r="1382" spans="2:8">
      <c r="B1382" s="76">
        <v>45103</v>
      </c>
      <c r="C1382" s="77">
        <v>128.16999799999999</v>
      </c>
      <c r="D1382" s="79">
        <f t="shared" si="42"/>
        <v>5.097247610506052E-3</v>
      </c>
      <c r="F1382" s="76">
        <v>45103</v>
      </c>
      <c r="G1382" s="78">
        <v>52.98</v>
      </c>
      <c r="H1382" s="79">
        <f t="shared" si="43"/>
        <v>-3.5734061904610713E-3</v>
      </c>
    </row>
    <row r="1383" spans="2:8">
      <c r="B1383" s="76">
        <v>45104</v>
      </c>
      <c r="C1383" s="77">
        <v>133.479996</v>
      </c>
      <c r="D1383" s="79">
        <f t="shared" si="42"/>
        <v>4.1429336684549276E-2</v>
      </c>
      <c r="F1383" s="76">
        <v>45104</v>
      </c>
      <c r="G1383" s="78">
        <v>53.560001</v>
      </c>
      <c r="H1383" s="79">
        <f t="shared" si="43"/>
        <v>1.0947546243865664E-2</v>
      </c>
    </row>
    <row r="1384" spans="2:8">
      <c r="B1384" s="76">
        <v>45105</v>
      </c>
      <c r="C1384" s="77">
        <v>135.33999600000001</v>
      </c>
      <c r="D1384" s="79">
        <f t="shared" si="42"/>
        <v>1.3934672278533884E-2</v>
      </c>
      <c r="F1384" s="76">
        <v>45105</v>
      </c>
      <c r="G1384" s="78">
        <v>53.599997999999999</v>
      </c>
      <c r="H1384" s="79">
        <f t="shared" si="43"/>
        <v>7.4676996365253276E-4</v>
      </c>
    </row>
    <row r="1385" spans="2:8">
      <c r="B1385" s="76">
        <v>45106</v>
      </c>
      <c r="C1385" s="77">
        <v>136.16999799999999</v>
      </c>
      <c r="D1385" s="79">
        <f t="shared" si="42"/>
        <v>6.1327177813717314E-3</v>
      </c>
      <c r="F1385" s="76">
        <v>45106</v>
      </c>
      <c r="G1385" s="78">
        <v>53.880001</v>
      </c>
      <c r="H1385" s="79">
        <f t="shared" si="43"/>
        <v>5.2239367620872052E-3</v>
      </c>
    </row>
    <row r="1386" spans="2:8">
      <c r="B1386" s="76">
        <v>45107</v>
      </c>
      <c r="C1386" s="77">
        <v>136</v>
      </c>
      <c r="D1386" s="79">
        <f t="shared" si="42"/>
        <v>-1.2484247814999053E-3</v>
      </c>
      <c r="F1386" s="76">
        <v>45107</v>
      </c>
      <c r="G1386" s="78">
        <v>54.439999</v>
      </c>
      <c r="H1386" s="79">
        <f t="shared" si="43"/>
        <v>1.0393429651198414E-2</v>
      </c>
    </row>
    <row r="1387" spans="2:8">
      <c r="B1387" s="76">
        <v>45110</v>
      </c>
      <c r="C1387" s="77">
        <v>136.33000200000001</v>
      </c>
      <c r="D1387" s="79">
        <f t="shared" si="42"/>
        <v>2.4264852941177019E-3</v>
      </c>
      <c r="F1387" s="76">
        <v>45110</v>
      </c>
      <c r="G1387" s="78">
        <v>54.57</v>
      </c>
      <c r="H1387" s="79">
        <f t="shared" si="43"/>
        <v>2.3879684494483556E-3</v>
      </c>
    </row>
    <row r="1388" spans="2:8">
      <c r="B1388" s="76">
        <v>45112</v>
      </c>
      <c r="C1388" s="77">
        <v>136.470001</v>
      </c>
      <c r="D1388" s="79">
        <f t="shared" si="42"/>
        <v>1.026912623385635E-3</v>
      </c>
      <c r="F1388" s="76">
        <v>45112</v>
      </c>
      <c r="G1388" s="78">
        <v>54.400002000000001</v>
      </c>
      <c r="H1388" s="79">
        <f t="shared" si="43"/>
        <v>-3.1152281473336933E-3</v>
      </c>
    </row>
    <row r="1389" spans="2:8">
      <c r="B1389" s="76">
        <v>45113</v>
      </c>
      <c r="C1389" s="77">
        <v>130.80999800000001</v>
      </c>
      <c r="D1389" s="79">
        <f t="shared" si="42"/>
        <v>-4.1474338378586141E-2</v>
      </c>
      <c r="F1389" s="76">
        <v>45113</v>
      </c>
      <c r="G1389" s="78">
        <v>53.990001999999997</v>
      </c>
      <c r="H1389" s="79">
        <f t="shared" si="43"/>
        <v>-7.5367644287954935E-3</v>
      </c>
    </row>
    <row r="1390" spans="2:8">
      <c r="B1390" s="76">
        <v>45114</v>
      </c>
      <c r="C1390" s="77">
        <v>133.10000600000001</v>
      </c>
      <c r="D1390" s="79">
        <f t="shared" si="42"/>
        <v>1.7506368282338786E-2</v>
      </c>
      <c r="F1390" s="76">
        <v>45114</v>
      </c>
      <c r="G1390" s="78">
        <v>53.869999</v>
      </c>
      <c r="H1390" s="79">
        <f t="shared" si="43"/>
        <v>-2.2226893045863747E-3</v>
      </c>
    </row>
    <row r="1391" spans="2:8">
      <c r="B1391" s="76">
        <v>45117</v>
      </c>
      <c r="C1391" s="77">
        <v>135.259995</v>
      </c>
      <c r="D1391" s="79">
        <f t="shared" si="42"/>
        <v>1.6228316323291494E-2</v>
      </c>
      <c r="F1391" s="76">
        <v>45117</v>
      </c>
      <c r="G1391" s="78">
        <v>54.080002</v>
      </c>
      <c r="H1391" s="79">
        <f t="shared" si="43"/>
        <v>3.8983293836704989E-3</v>
      </c>
    </row>
    <row r="1392" spans="2:8">
      <c r="B1392" s="76">
        <v>45118</v>
      </c>
      <c r="C1392" s="77">
        <v>135.470001</v>
      </c>
      <c r="D1392" s="79">
        <f t="shared" si="42"/>
        <v>1.5526098459488543E-3</v>
      </c>
      <c r="F1392" s="76">
        <v>45118</v>
      </c>
      <c r="G1392" s="78">
        <v>54.450001</v>
      </c>
      <c r="H1392" s="79">
        <f t="shared" si="43"/>
        <v>6.8416972321857523E-3</v>
      </c>
    </row>
    <row r="1393" spans="2:8">
      <c r="B1393" s="76">
        <v>45119</v>
      </c>
      <c r="C1393" s="77">
        <v>139.279999</v>
      </c>
      <c r="D1393" s="79">
        <f t="shared" si="42"/>
        <v>2.8124292993841546E-2</v>
      </c>
      <c r="F1393" s="76">
        <v>45119</v>
      </c>
      <c r="G1393" s="78">
        <v>54.849997999999999</v>
      </c>
      <c r="H1393" s="79">
        <f t="shared" si="43"/>
        <v>7.3461339330370082E-3</v>
      </c>
    </row>
    <row r="1394" spans="2:8">
      <c r="B1394" s="76">
        <v>45120</v>
      </c>
      <c r="C1394" s="77">
        <v>139.86999499999999</v>
      </c>
      <c r="D1394" s="79">
        <f t="shared" si="42"/>
        <v>4.2360425347216226E-3</v>
      </c>
      <c r="F1394" s="76">
        <v>45120</v>
      </c>
      <c r="G1394" s="78">
        <v>55.310001</v>
      </c>
      <c r="H1394" s="79">
        <f t="shared" si="43"/>
        <v>8.3865636604034226E-3</v>
      </c>
    </row>
    <row r="1395" spans="2:8">
      <c r="B1395" s="76">
        <v>45121</v>
      </c>
      <c r="C1395" s="77">
        <v>141.16000399999999</v>
      </c>
      <c r="D1395" s="79">
        <f t="shared" si="42"/>
        <v>9.2229144642494466E-3</v>
      </c>
      <c r="F1395" s="76">
        <v>45121</v>
      </c>
      <c r="G1395" s="78">
        <v>55.23</v>
      </c>
      <c r="H1395" s="79">
        <f t="shared" si="43"/>
        <v>-1.4464111110756058E-3</v>
      </c>
    </row>
    <row r="1396" spans="2:8">
      <c r="B1396" s="76">
        <v>45124</v>
      </c>
      <c r="C1396" s="77">
        <v>142.96000699999999</v>
      </c>
      <c r="D1396" s="79">
        <f t="shared" si="42"/>
        <v>1.2751508564706502E-2</v>
      </c>
      <c r="F1396" s="76">
        <v>45124</v>
      </c>
      <c r="G1396" s="78">
        <v>55.419998</v>
      </c>
      <c r="H1396" s="79">
        <f t="shared" si="43"/>
        <v>3.4401231214919933E-3</v>
      </c>
    </row>
    <row r="1397" spans="2:8">
      <c r="B1397" s="76">
        <v>45125</v>
      </c>
      <c r="C1397" s="77">
        <v>146.41999799999999</v>
      </c>
      <c r="D1397" s="79">
        <f t="shared" si="42"/>
        <v>2.4202510006872079E-2</v>
      </c>
      <c r="F1397" s="76">
        <v>45125</v>
      </c>
      <c r="G1397" s="78">
        <v>55.84</v>
      </c>
      <c r="H1397" s="79">
        <f t="shared" si="43"/>
        <v>7.5785278808563608E-3</v>
      </c>
    </row>
    <row r="1398" spans="2:8">
      <c r="B1398" s="76">
        <v>45126</v>
      </c>
      <c r="C1398" s="77">
        <v>144.320007</v>
      </c>
      <c r="D1398" s="79">
        <f t="shared" si="42"/>
        <v>-1.4342241692968665E-2</v>
      </c>
      <c r="F1398" s="76">
        <v>45126</v>
      </c>
      <c r="G1398" s="78">
        <v>56.02</v>
      </c>
      <c r="H1398" s="79">
        <f t="shared" si="43"/>
        <v>3.2234957020057255E-3</v>
      </c>
    </row>
    <row r="1399" spans="2:8">
      <c r="B1399" s="76">
        <v>45127</v>
      </c>
      <c r="C1399" s="77">
        <v>139.13999899999999</v>
      </c>
      <c r="D1399" s="79">
        <f t="shared" si="42"/>
        <v>-3.5892514888805509E-2</v>
      </c>
      <c r="F1399" s="76">
        <v>45127</v>
      </c>
      <c r="G1399" s="78">
        <v>55.639999000000003</v>
      </c>
      <c r="H1399" s="79">
        <f t="shared" si="43"/>
        <v>-6.7833095323098893E-3</v>
      </c>
    </row>
    <row r="1400" spans="2:8">
      <c r="B1400" s="76">
        <v>45128</v>
      </c>
      <c r="C1400" s="77">
        <v>138.729996</v>
      </c>
      <c r="D1400" s="79">
        <f t="shared" si="42"/>
        <v>-2.9466939984668897E-3</v>
      </c>
      <c r="F1400" s="76">
        <v>45128</v>
      </c>
      <c r="G1400" s="78">
        <v>55.639999000000003</v>
      </c>
      <c r="H1400" s="79">
        <f t="shared" si="43"/>
        <v>0</v>
      </c>
    </row>
    <row r="1401" spans="2:8">
      <c r="B1401" s="76">
        <v>45131</v>
      </c>
      <c r="C1401" s="77">
        <v>138.25</v>
      </c>
      <c r="D1401" s="79">
        <f t="shared" si="42"/>
        <v>-3.4599294589470028E-3</v>
      </c>
      <c r="F1401" s="76">
        <v>45131</v>
      </c>
      <c r="G1401" s="78">
        <v>55.869999</v>
      </c>
      <c r="H1401" s="79">
        <f t="shared" si="43"/>
        <v>4.1337168248331002E-3</v>
      </c>
    </row>
    <row r="1402" spans="2:8">
      <c r="B1402" s="76">
        <v>45132</v>
      </c>
      <c r="C1402" s="77">
        <v>142.009995</v>
      </c>
      <c r="D1402" s="79">
        <f t="shared" si="42"/>
        <v>2.7197070524412323E-2</v>
      </c>
      <c r="F1402" s="76">
        <v>45132</v>
      </c>
      <c r="G1402" s="78">
        <v>56.02</v>
      </c>
      <c r="H1402" s="79">
        <f t="shared" si="43"/>
        <v>2.6848219560555776E-3</v>
      </c>
    </row>
    <row r="1403" spans="2:8">
      <c r="B1403" s="76">
        <v>45133</v>
      </c>
      <c r="C1403" s="77">
        <v>141.770004</v>
      </c>
      <c r="D1403" s="79">
        <f t="shared" si="42"/>
        <v>-1.6899585131314411E-3</v>
      </c>
      <c r="F1403" s="76">
        <v>45133</v>
      </c>
      <c r="G1403" s="78">
        <v>56.029998999999997</v>
      </c>
      <c r="H1403" s="79">
        <f t="shared" si="43"/>
        <v>1.7848982506236038E-4</v>
      </c>
    </row>
    <row r="1404" spans="2:8">
      <c r="B1404" s="76">
        <v>45134</v>
      </c>
      <c r="C1404" s="77">
        <v>141.5</v>
      </c>
      <c r="D1404" s="79">
        <f t="shared" si="42"/>
        <v>-1.904521354178703E-3</v>
      </c>
      <c r="F1404" s="76">
        <v>45134</v>
      </c>
      <c r="G1404" s="78">
        <v>55.610000999999997</v>
      </c>
      <c r="H1404" s="79">
        <f t="shared" si="43"/>
        <v>-7.4959487327493912E-3</v>
      </c>
    </row>
    <row r="1405" spans="2:8">
      <c r="B1405" s="76">
        <v>45135</v>
      </c>
      <c r="C1405" s="77">
        <v>143.64999399999999</v>
      </c>
      <c r="D1405" s="79">
        <f t="shared" si="42"/>
        <v>1.5194303886925742E-2</v>
      </c>
      <c r="F1405" s="76">
        <v>45135</v>
      </c>
      <c r="G1405" s="78">
        <v>56.18</v>
      </c>
      <c r="H1405" s="79">
        <f t="shared" si="43"/>
        <v>1.0249936877361374E-2</v>
      </c>
    </row>
    <row r="1406" spans="2:8">
      <c r="B1406" s="76">
        <v>45138</v>
      </c>
      <c r="C1406" s="77">
        <v>144.429993</v>
      </c>
      <c r="D1406" s="79">
        <f t="shared" si="42"/>
        <v>5.4298575188245655E-3</v>
      </c>
      <c r="F1406" s="76">
        <v>45138</v>
      </c>
      <c r="G1406" s="78">
        <v>56.310001</v>
      </c>
      <c r="H1406" s="79">
        <f t="shared" si="43"/>
        <v>2.3140085439658249E-3</v>
      </c>
    </row>
    <row r="1407" spans="2:8">
      <c r="B1407" s="76">
        <v>45139</v>
      </c>
      <c r="C1407" s="77">
        <v>146.759995</v>
      </c>
      <c r="D1407" s="79">
        <f t="shared" si="42"/>
        <v>1.6132397098433754E-2</v>
      </c>
      <c r="F1407" s="76">
        <v>45139</v>
      </c>
      <c r="G1407" s="78">
        <v>56.150002000000001</v>
      </c>
      <c r="H1407" s="79">
        <f t="shared" si="43"/>
        <v>-2.8413957939727105E-3</v>
      </c>
    </row>
    <row r="1408" spans="2:8">
      <c r="B1408" s="76">
        <v>45140</v>
      </c>
      <c r="C1408" s="77">
        <v>148.63999899999999</v>
      </c>
      <c r="D1408" s="79">
        <f t="shared" si="42"/>
        <v>1.2810057672732853E-2</v>
      </c>
      <c r="F1408" s="76">
        <v>45140</v>
      </c>
      <c r="G1408" s="78">
        <v>55.400002000000001</v>
      </c>
      <c r="H1408" s="79">
        <f t="shared" si="43"/>
        <v>-1.3357078776239402E-2</v>
      </c>
    </row>
    <row r="1409" spans="2:8">
      <c r="B1409" s="76">
        <v>45141</v>
      </c>
      <c r="C1409" s="77">
        <v>144.64999399999999</v>
      </c>
      <c r="D1409" s="79">
        <f t="shared" si="42"/>
        <v>-2.6843413797385699E-2</v>
      </c>
      <c r="F1409" s="76">
        <v>45141</v>
      </c>
      <c r="G1409" s="78">
        <v>55.23</v>
      </c>
      <c r="H1409" s="79">
        <f t="shared" si="43"/>
        <v>-3.0686280480640375E-3</v>
      </c>
    </row>
    <row r="1410" spans="2:8">
      <c r="B1410" s="76">
        <v>45142</v>
      </c>
      <c r="C1410" s="77">
        <v>149.63999899999999</v>
      </c>
      <c r="D1410" s="79">
        <f t="shared" si="42"/>
        <v>3.4497097870602032E-2</v>
      </c>
      <c r="F1410" s="76">
        <v>45142</v>
      </c>
      <c r="G1410" s="78">
        <v>55.009998000000003</v>
      </c>
      <c r="H1410" s="79">
        <f t="shared" si="43"/>
        <v>-3.9833785985876119E-3</v>
      </c>
    </row>
    <row r="1411" spans="2:8">
      <c r="B1411" s="76">
        <v>45145</v>
      </c>
      <c r="C1411" s="77">
        <v>152.220001</v>
      </c>
      <c r="D1411" s="79">
        <f t="shared" si="42"/>
        <v>1.7241392790974343E-2</v>
      </c>
      <c r="F1411" s="76">
        <v>45145</v>
      </c>
      <c r="G1411" s="78">
        <v>55.450001</v>
      </c>
      <c r="H1411" s="79">
        <f t="shared" si="43"/>
        <v>7.9986005453044594E-3</v>
      </c>
    </row>
    <row r="1412" spans="2:8">
      <c r="B1412" s="76">
        <v>45146</v>
      </c>
      <c r="C1412" s="77">
        <v>151.699997</v>
      </c>
      <c r="D1412" s="79">
        <f t="shared" si="42"/>
        <v>-3.4161345196680173E-3</v>
      </c>
      <c r="F1412" s="76">
        <v>45146</v>
      </c>
      <c r="G1412" s="78">
        <v>55.189999</v>
      </c>
      <c r="H1412" s="79">
        <f t="shared" si="43"/>
        <v>-4.6889449109297592E-3</v>
      </c>
    </row>
    <row r="1413" spans="2:8">
      <c r="B1413" s="76">
        <v>45147</v>
      </c>
      <c r="C1413" s="77">
        <v>150.11999499999999</v>
      </c>
      <c r="D1413" s="79">
        <f t="shared" si="42"/>
        <v>-1.041530673201007E-2</v>
      </c>
      <c r="F1413" s="76">
        <v>45147</v>
      </c>
      <c r="G1413" s="78">
        <v>54.82</v>
      </c>
      <c r="H1413" s="79">
        <f t="shared" si="43"/>
        <v>-6.704095066209368E-3</v>
      </c>
    </row>
    <row r="1414" spans="2:8">
      <c r="B1414" s="76">
        <v>45148</v>
      </c>
      <c r="C1414" s="77">
        <v>150.320007</v>
      </c>
      <c r="D1414" s="79">
        <f t="shared" ref="D1414:D1429" si="44">(C1414-C1413)/C1413</f>
        <v>1.3323474997452218E-3</v>
      </c>
      <c r="F1414" s="76">
        <v>45148</v>
      </c>
      <c r="G1414" s="78">
        <v>54.860000999999997</v>
      </c>
      <c r="H1414" s="79">
        <f t="shared" ref="H1414:H1429" si="45">(G1414-G1413)/G1413</f>
        <v>7.296789492885192E-4</v>
      </c>
    </row>
    <row r="1415" spans="2:8">
      <c r="B1415" s="76">
        <v>45149</v>
      </c>
      <c r="C1415" s="77">
        <v>147.88999899999999</v>
      </c>
      <c r="D1415" s="79">
        <f t="shared" si="44"/>
        <v>-1.6165566038059159E-2</v>
      </c>
      <c r="F1415" s="76">
        <v>45149</v>
      </c>
      <c r="G1415" s="78">
        <v>54.799999</v>
      </c>
      <c r="H1415" s="79">
        <f t="shared" si="45"/>
        <v>-1.0937294733187706E-3</v>
      </c>
    </row>
    <row r="1416" spans="2:8">
      <c r="B1416" s="76">
        <v>45152</v>
      </c>
      <c r="C1416" s="77">
        <v>151.85000600000001</v>
      </c>
      <c r="D1416" s="79">
        <f t="shared" si="44"/>
        <v>2.677670584067026E-2</v>
      </c>
      <c r="F1416" s="76">
        <v>45152</v>
      </c>
      <c r="G1416" s="78">
        <v>55.080002</v>
      </c>
      <c r="H1416" s="79">
        <f t="shared" si="45"/>
        <v>5.1095438888603024E-3</v>
      </c>
    </row>
    <row r="1417" spans="2:8">
      <c r="B1417" s="76">
        <v>45153</v>
      </c>
      <c r="C1417" s="77">
        <v>150.69000199999999</v>
      </c>
      <c r="D1417" s="79">
        <f t="shared" si="44"/>
        <v>-7.6391435901557673E-3</v>
      </c>
      <c r="F1417" s="76">
        <v>45153</v>
      </c>
      <c r="G1417" s="78">
        <v>54.459999000000003</v>
      </c>
      <c r="H1417" s="79">
        <f t="shared" si="45"/>
        <v>-1.1256408451110748E-2</v>
      </c>
    </row>
    <row r="1418" spans="2:8">
      <c r="B1418" s="76">
        <v>45154</v>
      </c>
      <c r="C1418" s="77">
        <v>147.240005</v>
      </c>
      <c r="D1418" s="79">
        <f t="shared" si="44"/>
        <v>-2.2894664239237295E-2</v>
      </c>
      <c r="F1418" s="76">
        <v>45154</v>
      </c>
      <c r="G1418" s="78">
        <v>54.049999</v>
      </c>
      <c r="H1418" s="79">
        <f t="shared" si="45"/>
        <v>-7.5284613942061158E-3</v>
      </c>
    </row>
    <row r="1419" spans="2:8">
      <c r="B1419" s="76">
        <v>45155</v>
      </c>
      <c r="C1419" s="77">
        <v>130.05999800000001</v>
      </c>
      <c r="D1419" s="79">
        <f t="shared" si="44"/>
        <v>-0.11668029351126408</v>
      </c>
      <c r="F1419" s="76">
        <v>45155</v>
      </c>
      <c r="G1419" s="78">
        <v>53.59</v>
      </c>
      <c r="H1419" s="79">
        <f t="shared" si="45"/>
        <v>-8.510619953942946E-3</v>
      </c>
    </row>
    <row r="1420" spans="2:8">
      <c r="B1420" s="76">
        <v>45156</v>
      </c>
      <c r="C1420" s="77">
        <v>134.13999899999999</v>
      </c>
      <c r="D1420" s="79">
        <f t="shared" si="44"/>
        <v>3.1370145031064674E-2</v>
      </c>
      <c r="F1420" s="76">
        <v>45156</v>
      </c>
      <c r="G1420" s="78">
        <v>53.630001</v>
      </c>
      <c r="H1420" s="79">
        <f t="shared" si="45"/>
        <v>7.4642657212160141E-4</v>
      </c>
    </row>
    <row r="1421" spans="2:8">
      <c r="B1421" s="76">
        <v>45159</v>
      </c>
      <c r="C1421" s="77">
        <v>132.759995</v>
      </c>
      <c r="D1421" s="79">
        <f t="shared" si="44"/>
        <v>-1.0287788953986689E-2</v>
      </c>
      <c r="F1421" s="76">
        <v>45159</v>
      </c>
      <c r="G1421" s="78">
        <v>53.950001</v>
      </c>
      <c r="H1421" s="79">
        <f t="shared" si="45"/>
        <v>5.966809510221719E-3</v>
      </c>
    </row>
    <row r="1422" spans="2:8">
      <c r="B1422" s="76">
        <v>45160</v>
      </c>
      <c r="C1422" s="77">
        <v>131.80999800000001</v>
      </c>
      <c r="D1422" s="79">
        <f t="shared" si="44"/>
        <v>-7.1557474825153181E-3</v>
      </c>
      <c r="F1422" s="76">
        <v>45160</v>
      </c>
      <c r="G1422" s="78">
        <v>53.799999</v>
      </c>
      <c r="H1422" s="79">
        <f t="shared" si="45"/>
        <v>-2.7803891977685158E-3</v>
      </c>
    </row>
    <row r="1423" spans="2:8">
      <c r="B1423" s="76">
        <v>45161</v>
      </c>
      <c r="C1423" s="77">
        <v>136.61000100000001</v>
      </c>
      <c r="D1423" s="79">
        <f t="shared" si="44"/>
        <v>3.6416076722799159E-2</v>
      </c>
      <c r="F1423" s="76">
        <v>45161</v>
      </c>
      <c r="G1423" s="78">
        <v>54.41</v>
      </c>
      <c r="H1423" s="79">
        <f t="shared" si="45"/>
        <v>1.1338308760935049E-2</v>
      </c>
    </row>
    <row r="1424" spans="2:8">
      <c r="B1424" s="76">
        <v>45162</v>
      </c>
      <c r="C1424" s="77">
        <v>132.83999600000001</v>
      </c>
      <c r="D1424" s="79">
        <f t="shared" si="44"/>
        <v>-2.7596844831294581E-2</v>
      </c>
      <c r="F1424" s="76">
        <v>45162</v>
      </c>
      <c r="G1424" s="78">
        <v>53.689999</v>
      </c>
      <c r="H1424" s="79">
        <f t="shared" si="45"/>
        <v>-1.3232879985296753E-2</v>
      </c>
    </row>
    <row r="1425" spans="2:8">
      <c r="B1425" s="76">
        <v>45163</v>
      </c>
      <c r="C1425" s="77">
        <v>129.19000199999999</v>
      </c>
      <c r="D1425" s="79">
        <f t="shared" si="44"/>
        <v>-2.7476619315767069E-2</v>
      </c>
      <c r="F1425" s="76">
        <v>45163</v>
      </c>
      <c r="G1425" s="78">
        <v>54.02</v>
      </c>
      <c r="H1425" s="79">
        <f t="shared" si="45"/>
        <v>6.1464147168265523E-3</v>
      </c>
    </row>
    <row r="1426" spans="2:8">
      <c r="B1426" s="76">
        <v>45166</v>
      </c>
      <c r="C1426" s="77">
        <v>132.88000500000001</v>
      </c>
      <c r="D1426" s="79">
        <f t="shared" si="44"/>
        <v>2.8562605022639589E-2</v>
      </c>
      <c r="F1426" s="76">
        <v>45166</v>
      </c>
      <c r="G1426" s="78">
        <v>54.419998</v>
      </c>
      <c r="H1426" s="79">
        <f t="shared" si="45"/>
        <v>7.4046279155867553E-3</v>
      </c>
    </row>
    <row r="1427" spans="2:8">
      <c r="B1427" s="76">
        <v>45167</v>
      </c>
      <c r="C1427" s="77">
        <v>139.66999799999999</v>
      </c>
      <c r="D1427" s="79">
        <f t="shared" si="44"/>
        <v>5.1098681099537739E-2</v>
      </c>
      <c r="F1427" s="76">
        <v>45167</v>
      </c>
      <c r="G1427" s="78">
        <v>55.200001</v>
      </c>
      <c r="H1427" s="79">
        <f t="shared" si="45"/>
        <v>1.4333021474936487E-2</v>
      </c>
    </row>
    <row r="1428" spans="2:8">
      <c r="B1428" s="76">
        <v>45168</v>
      </c>
      <c r="C1428" s="77">
        <v>139.86999499999999</v>
      </c>
      <c r="D1428" s="79">
        <f t="shared" si="44"/>
        <v>1.4319252728849914E-3</v>
      </c>
      <c r="F1428" s="76">
        <v>45168</v>
      </c>
      <c r="G1428" s="78">
        <v>55.380001</v>
      </c>
      <c r="H1428" s="79">
        <f t="shared" si="45"/>
        <v>3.260869506143663E-3</v>
      </c>
    </row>
    <row r="1429" spans="2:8" ht="17.25" thickBot="1">
      <c r="B1429" s="80">
        <v>45169</v>
      </c>
      <c r="C1429" s="81">
        <v>145.03999300000001</v>
      </c>
      <c r="D1429" s="82">
        <f t="shared" si="44"/>
        <v>3.69628811383029E-2</v>
      </c>
      <c r="F1429" s="80">
        <v>45169</v>
      </c>
      <c r="G1429" s="83">
        <v>55.349997999999999</v>
      </c>
      <c r="H1429" s="82">
        <f t="shared" si="45"/>
        <v>-5.4176597071568615E-4</v>
      </c>
    </row>
    <row r="1555" spans="2:4">
      <c r="B1555" s="76">
        <v>43102</v>
      </c>
      <c r="C1555" s="77">
        <v>22</v>
      </c>
      <c r="D1555" s="78">
        <v>33.360000999999997</v>
      </c>
    </row>
    <row r="1556" spans="2:4">
      <c r="B1556" s="76">
        <v>43103</v>
      </c>
      <c r="C1556" s="77">
        <v>22.41</v>
      </c>
      <c r="D1556" s="78">
        <v>33.630001</v>
      </c>
    </row>
    <row r="1557" spans="2:4">
      <c r="B1557" s="76">
        <v>43104</v>
      </c>
      <c r="C1557" s="77">
        <v>22.35</v>
      </c>
      <c r="D1557" s="78">
        <v>33.75</v>
      </c>
    </row>
    <row r="1558" spans="2:4">
      <c r="B1558" s="76">
        <v>43105</v>
      </c>
      <c r="C1558" s="77">
        <v>22.780000999999999</v>
      </c>
      <c r="D1558" s="78">
        <v>33.950001</v>
      </c>
    </row>
    <row r="1559" spans="2:4">
      <c r="B1559" s="76">
        <v>43108</v>
      </c>
      <c r="C1559" s="77">
        <v>22.67</v>
      </c>
      <c r="D1559" s="78">
        <v>34.020000000000003</v>
      </c>
    </row>
    <row r="1560" spans="2:4">
      <c r="B1560" s="76">
        <v>43109</v>
      </c>
      <c r="C1560" s="77">
        <v>22.68</v>
      </c>
      <c r="D1560" s="78">
        <v>34.049999</v>
      </c>
    </row>
    <row r="1561" spans="2:4">
      <c r="B1561" s="76">
        <v>43110</v>
      </c>
      <c r="C1561" s="77">
        <v>22.129999000000002</v>
      </c>
      <c r="D1561" s="78">
        <v>34</v>
      </c>
    </row>
    <row r="1562" spans="2:4">
      <c r="B1562" s="76">
        <v>43111</v>
      </c>
      <c r="C1562" s="77">
        <v>22.459999</v>
      </c>
      <c r="D1562" s="78">
        <v>34.290000999999997</v>
      </c>
    </row>
    <row r="1563" spans="2:4">
      <c r="B1563" s="76">
        <v>43112</v>
      </c>
      <c r="C1563" s="77">
        <v>22.790001</v>
      </c>
      <c r="D1563" s="78">
        <v>34.509998000000003</v>
      </c>
    </row>
    <row r="1564" spans="2:4">
      <c r="B1564" s="76">
        <v>43116</v>
      </c>
      <c r="C1564" s="77">
        <v>22.15</v>
      </c>
      <c r="D1564" s="78">
        <v>34.330002</v>
      </c>
    </row>
    <row r="1565" spans="2:4">
      <c r="B1565" s="76">
        <v>43117</v>
      </c>
      <c r="C1565" s="77">
        <v>22.790001</v>
      </c>
      <c r="D1565" s="78">
        <v>34.650002000000001</v>
      </c>
    </row>
    <row r="1566" spans="2:4">
      <c r="B1566" s="76">
        <v>43118</v>
      </c>
      <c r="C1566" s="77">
        <v>22.6</v>
      </c>
      <c r="D1566" s="78">
        <v>34.599997999999999</v>
      </c>
    </row>
    <row r="1567" spans="2:4">
      <c r="B1567" s="76">
        <v>43119</v>
      </c>
      <c r="C1567" s="77">
        <v>22.309999000000001</v>
      </c>
      <c r="D1567" s="78">
        <v>34.75</v>
      </c>
    </row>
    <row r="1568" spans="2:4">
      <c r="B1568" s="76">
        <v>43122</v>
      </c>
      <c r="C1568" s="77">
        <v>22.74</v>
      </c>
      <c r="D1568" s="78">
        <v>35.049999</v>
      </c>
    </row>
    <row r="1569" spans="2:4">
      <c r="B1569" s="76">
        <v>43123</v>
      </c>
      <c r="C1569" s="77">
        <v>23.030000999999999</v>
      </c>
      <c r="D1569" s="78">
        <v>35.139999000000003</v>
      </c>
    </row>
    <row r="1570" spans="2:4">
      <c r="B1570" s="76">
        <v>43124</v>
      </c>
      <c r="C1570" s="77">
        <v>22.379999000000002</v>
      </c>
      <c r="D1570" s="78">
        <v>35.110000999999997</v>
      </c>
    </row>
    <row r="1571" spans="2:4">
      <c r="B1571" s="76">
        <v>43125</v>
      </c>
      <c r="C1571" s="77">
        <v>22.43</v>
      </c>
      <c r="D1571" s="78">
        <v>35.099997999999999</v>
      </c>
    </row>
    <row r="1572" spans="2:4">
      <c r="B1572" s="76">
        <v>43126</v>
      </c>
      <c r="C1572" s="77">
        <v>22.65</v>
      </c>
      <c r="D1572" s="78">
        <v>35.450001</v>
      </c>
    </row>
    <row r="1573" spans="2:4">
      <c r="B1573" s="76">
        <v>43129</v>
      </c>
      <c r="C1573" s="77">
        <v>21.74</v>
      </c>
      <c r="D1573" s="78">
        <v>35.25</v>
      </c>
    </row>
    <row r="1574" spans="2:4">
      <c r="B1574" s="76">
        <v>43130</v>
      </c>
      <c r="C1574" s="77">
        <v>21.52</v>
      </c>
      <c r="D1574" s="78">
        <v>34.880001</v>
      </c>
    </row>
    <row r="1575" spans="2:4">
      <c r="B1575" s="76">
        <v>43131</v>
      </c>
      <c r="C1575" s="77">
        <v>21.42</v>
      </c>
      <c r="D1575" s="78">
        <v>34.909999999999997</v>
      </c>
    </row>
    <row r="1576" spans="2:4">
      <c r="B1576" s="76">
        <v>43132</v>
      </c>
      <c r="C1576" s="77">
        <v>21.9</v>
      </c>
      <c r="D1576" s="78">
        <v>34.860000999999997</v>
      </c>
    </row>
    <row r="1577" spans="2:4">
      <c r="B1577" s="76">
        <v>43133</v>
      </c>
      <c r="C1577" s="77">
        <v>20.82</v>
      </c>
      <c r="D1577" s="78">
        <v>34.119999</v>
      </c>
    </row>
    <row r="1578" spans="2:4">
      <c r="B1578" s="76">
        <v>43136</v>
      </c>
      <c r="C1578" s="77">
        <v>19.920000000000002</v>
      </c>
      <c r="D1578" s="78">
        <v>33.040000999999997</v>
      </c>
    </row>
    <row r="1579" spans="2:4">
      <c r="B1579" s="76">
        <v>43137</v>
      </c>
      <c r="C1579" s="77">
        <v>20.370000999999998</v>
      </c>
      <c r="D1579" s="78">
        <v>33.340000000000003</v>
      </c>
    </row>
    <row r="1580" spans="2:4">
      <c r="B1580" s="76">
        <v>43138</v>
      </c>
      <c r="C1580" s="77">
        <v>20.379999000000002</v>
      </c>
      <c r="D1580" s="78">
        <v>33.150002000000001</v>
      </c>
    </row>
    <row r="1581" spans="2:4">
      <c r="B1581" s="76">
        <v>43139</v>
      </c>
      <c r="C1581" s="77">
        <v>19.73</v>
      </c>
      <c r="D1581" s="78">
        <v>31.98</v>
      </c>
    </row>
    <row r="1582" spans="2:4">
      <c r="B1582" s="76">
        <v>43140</v>
      </c>
      <c r="C1582" s="77">
        <v>19.799999</v>
      </c>
      <c r="D1582" s="78">
        <v>32.380001</v>
      </c>
    </row>
    <row r="1583" spans="2:4">
      <c r="B1583" s="76">
        <v>43143</v>
      </c>
      <c r="C1583" s="77">
        <v>19.530000999999999</v>
      </c>
      <c r="D1583" s="78">
        <v>32.860000999999997</v>
      </c>
    </row>
    <row r="1584" spans="2:4">
      <c r="B1584" s="76">
        <v>43144</v>
      </c>
      <c r="C1584" s="77">
        <v>19.48</v>
      </c>
      <c r="D1584" s="78">
        <v>32.939999</v>
      </c>
    </row>
    <row r="1585" spans="2:4">
      <c r="B1585" s="76">
        <v>43145</v>
      </c>
      <c r="C1585" s="77">
        <v>19.82</v>
      </c>
      <c r="D1585" s="78">
        <v>33.400002000000001</v>
      </c>
    </row>
    <row r="1586" spans="2:4">
      <c r="B1586" s="76">
        <v>43146</v>
      </c>
      <c r="C1586" s="77">
        <v>19.879999000000002</v>
      </c>
      <c r="D1586" s="78">
        <v>33.82</v>
      </c>
    </row>
    <row r="1587" spans="2:4">
      <c r="B1587" s="76">
        <v>43147</v>
      </c>
      <c r="C1587" s="77">
        <v>20.549999</v>
      </c>
      <c r="D1587" s="78">
        <v>33.849997999999999</v>
      </c>
    </row>
    <row r="1588" spans="2:4">
      <c r="B1588" s="76">
        <v>43151</v>
      </c>
      <c r="C1588" s="77">
        <v>20.389999</v>
      </c>
      <c r="D1588" s="78">
        <v>33.650002000000001</v>
      </c>
    </row>
    <row r="1589" spans="2:4">
      <c r="B1589" s="76">
        <v>43152</v>
      </c>
      <c r="C1589" s="77">
        <v>20.350000000000001</v>
      </c>
      <c r="D1589" s="78">
        <v>33.470001000000003</v>
      </c>
    </row>
    <row r="1590" spans="2:4">
      <c r="B1590" s="76">
        <v>43153</v>
      </c>
      <c r="C1590" s="77">
        <v>20.23</v>
      </c>
      <c r="D1590" s="78">
        <v>33.479999999999997</v>
      </c>
    </row>
    <row r="1591" spans="2:4">
      <c r="B1591" s="76">
        <v>43154</v>
      </c>
      <c r="C1591" s="77">
        <v>20.77</v>
      </c>
      <c r="D1591" s="78">
        <v>34.020000000000003</v>
      </c>
    </row>
    <row r="1592" spans="2:4">
      <c r="B1592" s="76">
        <v>43157</v>
      </c>
      <c r="C1592" s="77">
        <v>20.51</v>
      </c>
      <c r="D1592" s="78">
        <v>34.360000999999997</v>
      </c>
    </row>
    <row r="1593" spans="2:4">
      <c r="B1593" s="76">
        <v>43158</v>
      </c>
      <c r="C1593" s="77">
        <v>19.649999999999999</v>
      </c>
      <c r="D1593" s="78">
        <v>33.970001000000003</v>
      </c>
    </row>
    <row r="1594" spans="2:4">
      <c r="B1594" s="76">
        <v>43159</v>
      </c>
      <c r="C1594" s="77">
        <v>19.18</v>
      </c>
      <c r="D1594" s="78">
        <v>33.560001</v>
      </c>
    </row>
    <row r="1595" spans="2:4">
      <c r="B1595" s="76">
        <v>43160</v>
      </c>
      <c r="C1595" s="77">
        <v>21.190000999999999</v>
      </c>
      <c r="D1595" s="78">
        <v>33.18</v>
      </c>
    </row>
    <row r="1596" spans="2:4">
      <c r="B1596" s="76">
        <v>43161</v>
      </c>
      <c r="C1596" s="77">
        <v>21.43</v>
      </c>
      <c r="D1596" s="78">
        <v>33.409999999999997</v>
      </c>
    </row>
    <row r="1597" spans="2:4">
      <c r="B1597" s="76">
        <v>43164</v>
      </c>
      <c r="C1597" s="77">
        <v>21.07</v>
      </c>
      <c r="D1597" s="78">
        <v>33.759998000000003</v>
      </c>
    </row>
    <row r="1598" spans="2:4">
      <c r="B1598" s="76">
        <v>43165</v>
      </c>
      <c r="C1598" s="77">
        <v>21.48</v>
      </c>
      <c r="D1598" s="78">
        <v>33.889999000000003</v>
      </c>
    </row>
    <row r="1599" spans="2:4">
      <c r="B1599" s="76">
        <v>43166</v>
      </c>
      <c r="C1599" s="77">
        <v>21.610001</v>
      </c>
      <c r="D1599" s="78">
        <v>33.909999999999997</v>
      </c>
    </row>
    <row r="1600" spans="2:4">
      <c r="B1600" s="76">
        <v>43167</v>
      </c>
      <c r="C1600" s="77">
        <v>21.17</v>
      </c>
      <c r="D1600" s="78">
        <v>34.020000000000003</v>
      </c>
    </row>
    <row r="1601" spans="2:4">
      <c r="B1601" s="76">
        <v>43168</v>
      </c>
      <c r="C1601" s="77">
        <v>21.57</v>
      </c>
      <c r="D1601" s="78">
        <v>34.599997999999999</v>
      </c>
    </row>
    <row r="1602" spans="2:4">
      <c r="B1602" s="76">
        <v>43171</v>
      </c>
      <c r="C1602" s="77">
        <v>21.639999</v>
      </c>
      <c r="D1602" s="78">
        <v>34.590000000000003</v>
      </c>
    </row>
    <row r="1603" spans="2:4">
      <c r="B1603" s="76">
        <v>43172</v>
      </c>
      <c r="C1603" s="77">
        <v>21.9</v>
      </c>
      <c r="D1603" s="78">
        <v>34.380001</v>
      </c>
    </row>
    <row r="1604" spans="2:4">
      <c r="B1604" s="76">
        <v>43173</v>
      </c>
      <c r="C1604" s="77">
        <v>21.780000999999999</v>
      </c>
      <c r="D1604" s="78">
        <v>34.18</v>
      </c>
    </row>
    <row r="1605" spans="2:4">
      <c r="B1605" s="76">
        <v>43174</v>
      </c>
      <c r="C1605" s="77">
        <v>21.040001</v>
      </c>
      <c r="D1605" s="78">
        <v>34.110000999999997</v>
      </c>
    </row>
    <row r="1606" spans="2:4">
      <c r="B1606" s="76">
        <v>43175</v>
      </c>
      <c r="C1606" s="77">
        <v>20.799999</v>
      </c>
      <c r="D1606" s="78">
        <v>34.090000000000003</v>
      </c>
    </row>
    <row r="1607" spans="2:4">
      <c r="B1607" s="76">
        <v>43178</v>
      </c>
      <c r="C1607" s="77">
        <v>20.73</v>
      </c>
      <c r="D1607" s="78">
        <v>33.630001</v>
      </c>
    </row>
    <row r="1608" spans="2:4">
      <c r="B1608" s="76">
        <v>43179</v>
      </c>
      <c r="C1608" s="77">
        <v>20.65</v>
      </c>
      <c r="D1608" s="78">
        <v>33.650002000000001</v>
      </c>
    </row>
    <row r="1609" spans="2:4">
      <c r="B1609" s="76">
        <v>43180</v>
      </c>
      <c r="C1609" s="77">
        <v>21.059999000000001</v>
      </c>
      <c r="D1609" s="78">
        <v>33.669998</v>
      </c>
    </row>
    <row r="1610" spans="2:4">
      <c r="B1610" s="76">
        <v>43181</v>
      </c>
      <c r="C1610" s="77">
        <v>20.329999999999998</v>
      </c>
      <c r="D1610" s="78">
        <v>32.849997999999999</v>
      </c>
    </row>
    <row r="1611" spans="2:4">
      <c r="B1611" s="76">
        <v>43182</v>
      </c>
      <c r="C1611" s="77">
        <v>19.879999000000002</v>
      </c>
      <c r="D1611" s="78">
        <v>32.18</v>
      </c>
    </row>
    <row r="1612" spans="2:4">
      <c r="B1612" s="76">
        <v>43185</v>
      </c>
      <c r="C1612" s="77">
        <v>20.149999999999999</v>
      </c>
      <c r="D1612" s="78">
        <v>32.970001000000003</v>
      </c>
    </row>
    <row r="1613" spans="2:4">
      <c r="B1613" s="76">
        <v>43186</v>
      </c>
      <c r="C1613" s="77">
        <v>19.66</v>
      </c>
      <c r="D1613" s="78">
        <v>32.459999000000003</v>
      </c>
    </row>
    <row r="1614" spans="2:4">
      <c r="B1614" s="76">
        <v>43187</v>
      </c>
      <c r="C1614" s="77">
        <v>19.610001</v>
      </c>
      <c r="D1614" s="78">
        <v>32.360000999999997</v>
      </c>
    </row>
    <row r="1615" spans="2:4">
      <c r="B1615" s="76">
        <v>43188</v>
      </c>
      <c r="C1615" s="77">
        <v>19.84</v>
      </c>
      <c r="D1615" s="78">
        <v>32.82</v>
      </c>
    </row>
    <row r="1616" spans="2:4">
      <c r="B1616" s="76">
        <v>43192</v>
      </c>
      <c r="C1616" s="77">
        <v>18.75</v>
      </c>
      <c r="D1616" s="78">
        <v>32.090000000000003</v>
      </c>
    </row>
    <row r="1617" spans="2:4">
      <c r="B1617" s="76">
        <v>43193</v>
      </c>
      <c r="C1617" s="77">
        <v>18.93</v>
      </c>
      <c r="D1617" s="78">
        <v>32.479999999999997</v>
      </c>
    </row>
    <row r="1618" spans="2:4">
      <c r="B1618" s="76">
        <v>43194</v>
      </c>
      <c r="C1618" s="77">
        <v>19.579999999999998</v>
      </c>
      <c r="D1618" s="78">
        <v>32.840000000000003</v>
      </c>
    </row>
    <row r="1619" spans="2:4">
      <c r="B1619" s="76">
        <v>43195</v>
      </c>
      <c r="C1619" s="77">
        <v>19.870000999999998</v>
      </c>
      <c r="D1619" s="78">
        <v>33.090000000000003</v>
      </c>
    </row>
    <row r="1620" spans="2:4">
      <c r="B1620" s="76">
        <v>43196</v>
      </c>
      <c r="C1620" s="77">
        <v>19.700001</v>
      </c>
      <c r="D1620" s="78">
        <v>32.389999000000003</v>
      </c>
    </row>
    <row r="1621" spans="2:4">
      <c r="B1621" s="76">
        <v>43199</v>
      </c>
      <c r="C1621" s="77">
        <v>19.059999000000001</v>
      </c>
      <c r="D1621" s="78">
        <v>32.529998999999997</v>
      </c>
    </row>
    <row r="1622" spans="2:4">
      <c r="B1622" s="76">
        <v>43200</v>
      </c>
      <c r="C1622" s="77">
        <v>19.32</v>
      </c>
      <c r="D1622" s="78">
        <v>33.040000999999997</v>
      </c>
    </row>
    <row r="1623" spans="2:4">
      <c r="B1623" s="76">
        <v>43201</v>
      </c>
      <c r="C1623" s="77">
        <v>19.209999</v>
      </c>
      <c r="D1623" s="78">
        <v>32.869999</v>
      </c>
    </row>
    <row r="1624" spans="2:4">
      <c r="B1624" s="76">
        <v>43202</v>
      </c>
      <c r="C1624" s="77">
        <v>19.23</v>
      </c>
      <c r="D1624" s="78">
        <v>33.159999999999997</v>
      </c>
    </row>
    <row r="1625" spans="2:4">
      <c r="B1625" s="76">
        <v>43203</v>
      </c>
      <c r="C1625" s="77">
        <v>19.200001</v>
      </c>
      <c r="D1625" s="78">
        <v>33.029998999999997</v>
      </c>
    </row>
    <row r="1626" spans="2:4">
      <c r="B1626" s="76">
        <v>43206</v>
      </c>
      <c r="C1626" s="77">
        <v>19.629999000000002</v>
      </c>
      <c r="D1626" s="78">
        <v>33.32</v>
      </c>
    </row>
    <row r="1627" spans="2:4">
      <c r="B1627" s="76">
        <v>43207</v>
      </c>
      <c r="C1627" s="77">
        <v>19.780000999999999</v>
      </c>
      <c r="D1627" s="78">
        <v>33.659999999999997</v>
      </c>
    </row>
    <row r="1628" spans="2:4">
      <c r="B1628" s="76">
        <v>43208</v>
      </c>
      <c r="C1628" s="77">
        <v>19.709999</v>
      </c>
      <c r="D1628" s="78">
        <v>33.709999000000003</v>
      </c>
    </row>
    <row r="1629" spans="2:4">
      <c r="B1629" s="76">
        <v>43209</v>
      </c>
      <c r="C1629" s="77">
        <v>19.149999999999999</v>
      </c>
      <c r="D1629" s="78">
        <v>33.509998000000003</v>
      </c>
    </row>
    <row r="1630" spans="2:4">
      <c r="B1630" s="76">
        <v>43210</v>
      </c>
      <c r="C1630" s="77">
        <v>18.739999999999998</v>
      </c>
      <c r="D1630" s="78">
        <v>33.229999999999997</v>
      </c>
    </row>
    <row r="1631" spans="2:4">
      <c r="B1631" s="76">
        <v>43213</v>
      </c>
      <c r="C1631" s="77">
        <v>18.459999</v>
      </c>
      <c r="D1631" s="78">
        <v>33.229999999999997</v>
      </c>
    </row>
    <row r="1632" spans="2:4">
      <c r="B1632" s="76">
        <v>43214</v>
      </c>
      <c r="C1632" s="77">
        <v>18.120000999999998</v>
      </c>
      <c r="D1632" s="78">
        <v>32.849997999999999</v>
      </c>
    </row>
    <row r="1633" spans="2:4">
      <c r="B1633" s="76">
        <v>43215</v>
      </c>
      <c r="C1633" s="77">
        <v>18.079999999999998</v>
      </c>
      <c r="D1633" s="78">
        <v>32.869999</v>
      </c>
    </row>
    <row r="1634" spans="2:4">
      <c r="B1634" s="76">
        <v>43216</v>
      </c>
      <c r="C1634" s="77">
        <v>18.34</v>
      </c>
      <c r="D1634" s="78">
        <v>33.229999999999997</v>
      </c>
    </row>
    <row r="1635" spans="2:4">
      <c r="B1635" s="76">
        <v>43217</v>
      </c>
      <c r="C1635" s="77">
        <v>18.25</v>
      </c>
      <c r="D1635" s="78">
        <v>33.220001000000003</v>
      </c>
    </row>
    <row r="1636" spans="2:4">
      <c r="B1636" s="76">
        <v>43220</v>
      </c>
      <c r="C1636" s="77">
        <v>18.23</v>
      </c>
      <c r="D1636" s="78">
        <v>33</v>
      </c>
    </row>
    <row r="1637" spans="2:4">
      <c r="B1637" s="76">
        <v>43221</v>
      </c>
      <c r="C1637" s="77">
        <v>18.799999</v>
      </c>
      <c r="D1637" s="78">
        <v>33.049999</v>
      </c>
    </row>
    <row r="1638" spans="2:4">
      <c r="B1638" s="76">
        <v>43222</v>
      </c>
      <c r="C1638" s="77">
        <v>18.59</v>
      </c>
      <c r="D1638" s="78">
        <v>32.849997999999999</v>
      </c>
    </row>
    <row r="1639" spans="2:4">
      <c r="B1639" s="76">
        <v>43223</v>
      </c>
      <c r="C1639" s="77">
        <v>18.57</v>
      </c>
      <c r="D1639" s="78">
        <v>32.799999</v>
      </c>
    </row>
    <row r="1640" spans="2:4">
      <c r="B1640" s="76">
        <v>43224</v>
      </c>
      <c r="C1640" s="77">
        <v>18.579999999999998</v>
      </c>
      <c r="D1640" s="78">
        <v>33.18</v>
      </c>
    </row>
    <row r="1641" spans="2:4">
      <c r="B1641" s="76">
        <v>43227</v>
      </c>
      <c r="C1641" s="77">
        <v>18.870000999999998</v>
      </c>
      <c r="D1641" s="78">
        <v>33.32</v>
      </c>
    </row>
    <row r="1642" spans="2:4">
      <c r="B1642" s="76">
        <v>43228</v>
      </c>
      <c r="C1642" s="77">
        <v>19.719999000000001</v>
      </c>
      <c r="D1642" s="78">
        <v>33.349997999999999</v>
      </c>
    </row>
    <row r="1643" spans="2:4">
      <c r="B1643" s="76">
        <v>43229</v>
      </c>
      <c r="C1643" s="77">
        <v>19.75</v>
      </c>
      <c r="D1643" s="78">
        <v>33.650002000000001</v>
      </c>
    </row>
    <row r="1644" spans="2:4">
      <c r="B1644" s="76">
        <v>43230</v>
      </c>
      <c r="C1644" s="77">
        <v>19.110001</v>
      </c>
      <c r="D1644" s="78">
        <v>33.959999000000003</v>
      </c>
    </row>
    <row r="1645" spans="2:4">
      <c r="B1645" s="76">
        <v>43231</v>
      </c>
      <c r="C1645" s="77">
        <v>18.899999999999999</v>
      </c>
      <c r="D1645" s="78">
        <v>34.009998000000003</v>
      </c>
    </row>
    <row r="1646" spans="2:4">
      <c r="B1646" s="76">
        <v>43234</v>
      </c>
      <c r="C1646" s="77">
        <v>18.57</v>
      </c>
      <c r="D1646" s="78">
        <v>34.040000999999997</v>
      </c>
    </row>
    <row r="1647" spans="2:4">
      <c r="B1647" s="76">
        <v>43235</v>
      </c>
      <c r="C1647" s="77">
        <v>18.200001</v>
      </c>
      <c r="D1647" s="78">
        <v>33.82</v>
      </c>
    </row>
    <row r="1648" spans="2:4">
      <c r="B1648" s="76">
        <v>43236</v>
      </c>
      <c r="C1648" s="77">
        <v>18.969999000000001</v>
      </c>
      <c r="D1648" s="78">
        <v>33.979999999999997</v>
      </c>
    </row>
    <row r="1649" spans="2:4">
      <c r="B1649" s="76">
        <v>43237</v>
      </c>
      <c r="C1649" s="77">
        <v>19.010000000000002</v>
      </c>
      <c r="D1649" s="78">
        <v>34</v>
      </c>
    </row>
    <row r="1650" spans="2:4">
      <c r="B1650" s="76">
        <v>43238</v>
      </c>
      <c r="C1650" s="77">
        <v>19.790001</v>
      </c>
      <c r="D1650" s="78">
        <v>33.939999</v>
      </c>
    </row>
    <row r="1651" spans="2:4">
      <c r="B1651" s="76">
        <v>43241</v>
      </c>
      <c r="C1651" s="77">
        <v>19.719999000000001</v>
      </c>
      <c r="D1651" s="78">
        <v>34.150002000000001</v>
      </c>
    </row>
    <row r="1652" spans="2:4">
      <c r="B1652" s="76">
        <v>43242</v>
      </c>
      <c r="C1652" s="77">
        <v>19.450001</v>
      </c>
      <c r="D1652" s="78">
        <v>34.07</v>
      </c>
    </row>
    <row r="1653" spans="2:4">
      <c r="B1653" s="76">
        <v>43243</v>
      </c>
      <c r="C1653" s="77">
        <v>19.41</v>
      </c>
      <c r="D1653" s="78">
        <v>34.169998</v>
      </c>
    </row>
    <row r="1654" spans="2:4">
      <c r="B1654" s="76">
        <v>43244</v>
      </c>
      <c r="C1654" s="77">
        <v>19.299999</v>
      </c>
      <c r="D1654" s="78">
        <v>34.119999</v>
      </c>
    </row>
    <row r="1655" spans="2:4">
      <c r="B1655" s="76">
        <v>43245</v>
      </c>
      <c r="C1655" s="77">
        <v>19.489999999999998</v>
      </c>
      <c r="D1655" s="78">
        <v>34.049999</v>
      </c>
    </row>
    <row r="1656" spans="2:4">
      <c r="B1656" s="76">
        <v>43249</v>
      </c>
      <c r="C1656" s="77">
        <v>19.399999999999999</v>
      </c>
      <c r="D1656" s="78">
        <v>33.720001000000003</v>
      </c>
    </row>
    <row r="1657" spans="2:4">
      <c r="B1657" s="76">
        <v>43250</v>
      </c>
      <c r="C1657" s="77">
        <v>19.489999999999998</v>
      </c>
      <c r="D1657" s="78">
        <v>34.169998</v>
      </c>
    </row>
    <row r="1658" spans="2:4">
      <c r="B1658" s="76">
        <v>43251</v>
      </c>
      <c r="C1658" s="77">
        <v>19.579999999999998</v>
      </c>
      <c r="D1658" s="78">
        <v>33.919998</v>
      </c>
    </row>
    <row r="1659" spans="2:4">
      <c r="B1659" s="76">
        <v>43252</v>
      </c>
      <c r="C1659" s="77">
        <v>19.059999000000001</v>
      </c>
      <c r="D1659" s="78">
        <v>34.270000000000003</v>
      </c>
    </row>
    <row r="1660" spans="2:4">
      <c r="B1660" s="76">
        <v>43255</v>
      </c>
      <c r="C1660" s="77">
        <v>19.5</v>
      </c>
      <c r="D1660" s="78">
        <v>34.439999</v>
      </c>
    </row>
    <row r="1661" spans="2:4">
      <c r="B1661" s="76">
        <v>43256</v>
      </c>
      <c r="C1661" s="77">
        <v>19.52</v>
      </c>
      <c r="D1661" s="78">
        <v>34.490001999999997</v>
      </c>
    </row>
    <row r="1662" spans="2:4">
      <c r="B1662" s="76">
        <v>43257</v>
      </c>
      <c r="C1662" s="77">
        <v>19.5</v>
      </c>
      <c r="D1662" s="78">
        <v>34.709999000000003</v>
      </c>
    </row>
    <row r="1663" spans="2:4">
      <c r="B1663" s="76">
        <v>43258</v>
      </c>
      <c r="C1663" s="77">
        <v>19.799999</v>
      </c>
      <c r="D1663" s="78">
        <v>34.740001999999997</v>
      </c>
    </row>
    <row r="1664" spans="2:4">
      <c r="B1664" s="76">
        <v>43259</v>
      </c>
      <c r="C1664" s="77">
        <v>20.280000999999999</v>
      </c>
      <c r="D1664" s="78">
        <v>34.82</v>
      </c>
    </row>
    <row r="1665" spans="2:4">
      <c r="B1665" s="76">
        <v>43262</v>
      </c>
      <c r="C1665" s="77">
        <v>20.299999</v>
      </c>
      <c r="D1665" s="78">
        <v>34.880001</v>
      </c>
    </row>
    <row r="1666" spans="2:4">
      <c r="B1666" s="76">
        <v>43263</v>
      </c>
      <c r="C1666" s="77">
        <v>20.77</v>
      </c>
      <c r="D1666" s="78">
        <v>34.950001</v>
      </c>
    </row>
    <row r="1667" spans="2:4">
      <c r="B1667" s="76">
        <v>43264</v>
      </c>
      <c r="C1667" s="77">
        <v>19.59</v>
      </c>
      <c r="D1667" s="78">
        <v>34.810001</v>
      </c>
    </row>
    <row r="1668" spans="2:4">
      <c r="B1668" s="76">
        <v>43265</v>
      </c>
      <c r="C1668" s="77">
        <v>19.049999</v>
      </c>
      <c r="D1668" s="78">
        <v>34.880001</v>
      </c>
    </row>
    <row r="1669" spans="2:4">
      <c r="B1669" s="76">
        <v>43266</v>
      </c>
      <c r="C1669" s="77">
        <v>18.879999000000002</v>
      </c>
      <c r="D1669" s="78">
        <v>34.729999999999997</v>
      </c>
    </row>
    <row r="1670" spans="2:4">
      <c r="B1670" s="76">
        <v>43269</v>
      </c>
      <c r="C1670" s="77">
        <v>18.879999000000002</v>
      </c>
      <c r="D1670" s="78">
        <v>34.700001</v>
      </c>
    </row>
    <row r="1671" spans="2:4">
      <c r="B1671" s="76">
        <v>43270</v>
      </c>
      <c r="C1671" s="77">
        <v>18.959999</v>
      </c>
      <c r="D1671" s="78">
        <v>34.560001</v>
      </c>
    </row>
    <row r="1672" spans="2:4">
      <c r="B1672" s="76">
        <v>43271</v>
      </c>
      <c r="C1672" s="77">
        <v>19.549999</v>
      </c>
      <c r="D1672" s="78">
        <v>34.669998</v>
      </c>
    </row>
    <row r="1673" spans="2:4">
      <c r="B1673" s="76">
        <v>43272</v>
      </c>
      <c r="C1673" s="77">
        <v>19.02</v>
      </c>
      <c r="D1673" s="78">
        <v>34.439999</v>
      </c>
    </row>
    <row r="1674" spans="2:4">
      <c r="B1674" s="76">
        <v>43273</v>
      </c>
      <c r="C1674" s="77">
        <v>18.450001</v>
      </c>
      <c r="D1674" s="78">
        <v>34.479999999999997</v>
      </c>
    </row>
    <row r="1675" spans="2:4">
      <c r="B1675" s="76">
        <v>43276</v>
      </c>
      <c r="C1675" s="77">
        <v>18.200001</v>
      </c>
      <c r="D1675" s="78">
        <v>33.979999999999997</v>
      </c>
    </row>
    <row r="1676" spans="2:4">
      <c r="B1676" s="76">
        <v>43277</v>
      </c>
      <c r="C1676" s="77">
        <v>18.920000000000002</v>
      </c>
      <c r="D1676" s="78">
        <v>34.080002</v>
      </c>
    </row>
    <row r="1677" spans="2:4">
      <c r="B1677" s="76">
        <v>43278</v>
      </c>
      <c r="C1677" s="77">
        <v>18.129999000000002</v>
      </c>
      <c r="D1677" s="78">
        <v>33.770000000000003</v>
      </c>
    </row>
    <row r="1678" spans="2:4">
      <c r="B1678" s="76">
        <v>43279</v>
      </c>
      <c r="C1678" s="77">
        <v>18.110001</v>
      </c>
      <c r="D1678" s="78">
        <v>33.939999</v>
      </c>
    </row>
    <row r="1679" spans="2:4">
      <c r="B1679" s="76">
        <v>43280</v>
      </c>
      <c r="C1679" s="77">
        <v>18.290001</v>
      </c>
      <c r="D1679" s="78">
        <v>33.990001999999997</v>
      </c>
    </row>
    <row r="1680" spans="2:4">
      <c r="B1680" s="76">
        <v>43283</v>
      </c>
      <c r="C1680" s="77">
        <v>18.34</v>
      </c>
      <c r="D1680" s="78">
        <v>34.090000000000003</v>
      </c>
    </row>
    <row r="1681" spans="2:4">
      <c r="B1681" s="76">
        <v>43284</v>
      </c>
      <c r="C1681" s="77">
        <v>18.379999000000002</v>
      </c>
      <c r="D1681" s="78">
        <v>33.970001000000003</v>
      </c>
    </row>
    <row r="1682" spans="2:4">
      <c r="B1682" s="76">
        <v>43286</v>
      </c>
      <c r="C1682" s="77">
        <v>18.43</v>
      </c>
      <c r="D1682" s="78">
        <v>34.279998999999997</v>
      </c>
    </row>
    <row r="1683" spans="2:4">
      <c r="B1683" s="76">
        <v>43287</v>
      </c>
      <c r="C1683" s="77">
        <v>18.219999000000001</v>
      </c>
      <c r="D1683" s="78">
        <v>34.560001</v>
      </c>
    </row>
    <row r="1684" spans="2:4">
      <c r="B1684" s="76">
        <v>43290</v>
      </c>
      <c r="C1684" s="77">
        <v>18.82</v>
      </c>
      <c r="D1684" s="78">
        <v>34.869999</v>
      </c>
    </row>
    <row r="1685" spans="2:4">
      <c r="B1685" s="76">
        <v>43291</v>
      </c>
      <c r="C1685" s="77">
        <v>18.459999</v>
      </c>
      <c r="D1685" s="78">
        <v>34.959999000000003</v>
      </c>
    </row>
    <row r="1686" spans="2:4">
      <c r="B1686" s="76">
        <v>43292</v>
      </c>
      <c r="C1686" s="77">
        <v>18.170000000000002</v>
      </c>
      <c r="D1686" s="78">
        <v>34.709999000000003</v>
      </c>
    </row>
    <row r="1687" spans="2:4">
      <c r="B1687" s="76">
        <v>43293</v>
      </c>
      <c r="C1687" s="77">
        <v>18.139999</v>
      </c>
      <c r="D1687" s="78">
        <v>34.990001999999997</v>
      </c>
    </row>
    <row r="1688" spans="2:4">
      <c r="B1688" s="76">
        <v>43294</v>
      </c>
      <c r="C1688" s="77">
        <v>18.18</v>
      </c>
      <c r="D1688" s="78">
        <v>35</v>
      </c>
    </row>
    <row r="1689" spans="2:4">
      <c r="B1689" s="76">
        <v>43297</v>
      </c>
      <c r="C1689" s="77">
        <v>17.950001</v>
      </c>
      <c r="D1689" s="78">
        <v>34.959999000000003</v>
      </c>
    </row>
    <row r="1690" spans="2:4">
      <c r="B1690" s="76">
        <v>43298</v>
      </c>
      <c r="C1690" s="77">
        <v>18.32</v>
      </c>
      <c r="D1690" s="78">
        <v>35.099997999999999</v>
      </c>
    </row>
    <row r="1691" spans="2:4">
      <c r="B1691" s="76">
        <v>43299</v>
      </c>
      <c r="C1691" s="77">
        <v>18.290001</v>
      </c>
      <c r="D1691" s="78">
        <v>35.159999999999997</v>
      </c>
    </row>
    <row r="1692" spans="2:4">
      <c r="B1692" s="76">
        <v>43300</v>
      </c>
      <c r="C1692" s="77">
        <v>18.559999000000001</v>
      </c>
      <c r="D1692" s="78">
        <v>35.080002</v>
      </c>
    </row>
    <row r="1693" spans="2:4">
      <c r="B1693" s="76">
        <v>43301</v>
      </c>
      <c r="C1693" s="77">
        <v>18.219999000000001</v>
      </c>
      <c r="D1693" s="78">
        <v>35.040000999999997</v>
      </c>
    </row>
    <row r="1694" spans="2:4">
      <c r="B1694" s="76">
        <v>43304</v>
      </c>
      <c r="C1694" s="77">
        <v>17.91</v>
      </c>
      <c r="D1694" s="78">
        <v>35.090000000000003</v>
      </c>
    </row>
    <row r="1695" spans="2:4">
      <c r="B1695" s="76">
        <v>43305</v>
      </c>
      <c r="C1695" s="77">
        <v>17.350000000000001</v>
      </c>
      <c r="D1695" s="78">
        <v>35.169998</v>
      </c>
    </row>
    <row r="1696" spans="2:4">
      <c r="B1696" s="76">
        <v>43306</v>
      </c>
      <c r="C1696" s="77">
        <v>16.899999999999999</v>
      </c>
      <c r="D1696" s="78">
        <v>35.459999000000003</v>
      </c>
    </row>
    <row r="1697" spans="2:4">
      <c r="B1697" s="76">
        <v>43307</v>
      </c>
      <c r="C1697" s="77">
        <v>17.219999000000001</v>
      </c>
      <c r="D1697" s="78">
        <v>35.369999</v>
      </c>
    </row>
    <row r="1698" spans="2:4">
      <c r="B1698" s="76">
        <v>43308</v>
      </c>
      <c r="C1698" s="77">
        <v>16.940000999999999</v>
      </c>
      <c r="D1698" s="78">
        <v>35.099997999999999</v>
      </c>
    </row>
    <row r="1699" spans="2:4">
      <c r="B1699" s="76">
        <v>43311</v>
      </c>
      <c r="C1699" s="77">
        <v>17.489999999999998</v>
      </c>
      <c r="D1699" s="78">
        <v>34.889999000000003</v>
      </c>
    </row>
    <row r="1700" spans="2:4">
      <c r="B1700" s="76">
        <v>43312</v>
      </c>
      <c r="C1700" s="77">
        <v>17.93</v>
      </c>
      <c r="D1700" s="78">
        <v>35.090000000000003</v>
      </c>
    </row>
    <row r="1701" spans="2:4">
      <c r="B1701" s="76">
        <v>43313</v>
      </c>
      <c r="C1701" s="77">
        <v>17.620000999999998</v>
      </c>
      <c r="D1701" s="78">
        <v>35.060001</v>
      </c>
    </row>
    <row r="1702" spans="2:4">
      <c r="B1702" s="76">
        <v>43314</v>
      </c>
      <c r="C1702" s="77">
        <v>17.620000999999998</v>
      </c>
      <c r="D1702" s="78">
        <v>35.290000999999997</v>
      </c>
    </row>
    <row r="1703" spans="2:4">
      <c r="B1703" s="76">
        <v>43315</v>
      </c>
      <c r="C1703" s="77">
        <v>17.639999</v>
      </c>
      <c r="D1703" s="78">
        <v>35.400002000000001</v>
      </c>
    </row>
    <row r="1704" spans="2:4">
      <c r="B1704" s="76">
        <v>43318</v>
      </c>
      <c r="C1704" s="77">
        <v>17.75</v>
      </c>
      <c r="D1704" s="78">
        <v>35.529998999999997</v>
      </c>
    </row>
    <row r="1705" spans="2:4">
      <c r="B1705" s="76">
        <v>43319</v>
      </c>
      <c r="C1705" s="77">
        <v>17.829999999999998</v>
      </c>
      <c r="D1705" s="78">
        <v>35.650002000000001</v>
      </c>
    </row>
    <row r="1706" spans="2:4">
      <c r="B1706" s="76">
        <v>43320</v>
      </c>
      <c r="C1706" s="77">
        <v>17.510000000000002</v>
      </c>
      <c r="D1706" s="78">
        <v>35.630001</v>
      </c>
    </row>
    <row r="1707" spans="2:4">
      <c r="B1707" s="76">
        <v>43321</v>
      </c>
      <c r="C1707" s="77">
        <v>17.920000000000002</v>
      </c>
      <c r="D1707" s="78">
        <v>35.590000000000003</v>
      </c>
    </row>
    <row r="1708" spans="2:4">
      <c r="B1708" s="76">
        <v>43322</v>
      </c>
      <c r="C1708" s="77">
        <v>16.91</v>
      </c>
      <c r="D1708" s="78">
        <v>35.369999</v>
      </c>
    </row>
    <row r="1709" spans="2:4">
      <c r="B1709" s="76">
        <v>43325</v>
      </c>
      <c r="C1709" s="77">
        <v>16</v>
      </c>
      <c r="D1709" s="78">
        <v>35.209999000000003</v>
      </c>
    </row>
    <row r="1710" spans="2:4">
      <c r="B1710" s="76">
        <v>43326</v>
      </c>
      <c r="C1710" s="77">
        <v>16.860001</v>
      </c>
      <c r="D1710" s="78">
        <v>35.450001</v>
      </c>
    </row>
    <row r="1711" spans="2:4">
      <c r="B1711" s="76">
        <v>43327</v>
      </c>
      <c r="C1711" s="77">
        <v>16.48</v>
      </c>
      <c r="D1711" s="78">
        <v>35.18</v>
      </c>
    </row>
    <row r="1712" spans="2:4">
      <c r="B1712" s="76">
        <v>43328</v>
      </c>
      <c r="C1712" s="77">
        <v>16.889999</v>
      </c>
      <c r="D1712" s="78">
        <v>35.470001000000003</v>
      </c>
    </row>
    <row r="1713" spans="2:4">
      <c r="B1713" s="76">
        <v>43329</v>
      </c>
      <c r="C1713" s="77">
        <v>17.09</v>
      </c>
      <c r="D1713" s="78">
        <v>35.619999</v>
      </c>
    </row>
    <row r="1714" spans="2:4">
      <c r="B1714" s="76">
        <v>43332</v>
      </c>
      <c r="C1714" s="77">
        <v>16.73</v>
      </c>
      <c r="D1714" s="78">
        <v>35.68</v>
      </c>
    </row>
    <row r="1715" spans="2:4">
      <c r="B1715" s="76">
        <v>43333</v>
      </c>
      <c r="C1715" s="77">
        <v>17.129999000000002</v>
      </c>
      <c r="D1715" s="78">
        <v>35.799999</v>
      </c>
    </row>
    <row r="1716" spans="2:4">
      <c r="B1716" s="76">
        <v>43334</v>
      </c>
      <c r="C1716" s="77">
        <v>16.670000000000002</v>
      </c>
      <c r="D1716" s="78">
        <v>35.82</v>
      </c>
    </row>
    <row r="1717" spans="2:4">
      <c r="B1717" s="76">
        <v>43335</v>
      </c>
      <c r="C1717" s="77">
        <v>16.219999000000001</v>
      </c>
      <c r="D1717" s="78">
        <v>35.75</v>
      </c>
    </row>
    <row r="1718" spans="2:4">
      <c r="B1718" s="76">
        <v>43336</v>
      </c>
      <c r="C1718" s="77">
        <v>16.100000000000001</v>
      </c>
      <c r="D1718" s="78">
        <v>35.970001000000003</v>
      </c>
    </row>
    <row r="1719" spans="2:4">
      <c r="B1719" s="76">
        <v>43339</v>
      </c>
      <c r="C1719" s="77">
        <v>16.379999000000002</v>
      </c>
      <c r="D1719" s="78">
        <v>36.220001000000003</v>
      </c>
    </row>
    <row r="1720" spans="2:4">
      <c r="B1720" s="76">
        <v>43340</v>
      </c>
      <c r="C1720" s="77">
        <v>15.99</v>
      </c>
      <c r="D1720" s="78">
        <v>36.240001999999997</v>
      </c>
    </row>
    <row r="1721" spans="2:4">
      <c r="B1721" s="76">
        <v>43341</v>
      </c>
      <c r="C1721" s="77">
        <v>16.18</v>
      </c>
      <c r="D1721" s="78">
        <v>36.439999</v>
      </c>
    </row>
    <row r="1722" spans="2:4">
      <c r="B1722" s="76">
        <v>43342</v>
      </c>
      <c r="C1722" s="77">
        <v>15.85</v>
      </c>
      <c r="D1722" s="78">
        <v>36.279998999999997</v>
      </c>
    </row>
    <row r="1723" spans="2:4">
      <c r="B1723" s="76">
        <v>43343</v>
      </c>
      <c r="C1723" s="77">
        <v>15.62</v>
      </c>
      <c r="D1723" s="78">
        <v>36.310001</v>
      </c>
    </row>
    <row r="1724" spans="2:4">
      <c r="B1724" s="76">
        <v>43347</v>
      </c>
      <c r="C1724" s="77">
        <v>15.47</v>
      </c>
      <c r="D1724" s="78">
        <v>36.270000000000003</v>
      </c>
    </row>
    <row r="1725" spans="2:4">
      <c r="B1725" s="76">
        <v>43348</v>
      </c>
      <c r="C1725" s="77">
        <v>15.98</v>
      </c>
      <c r="D1725" s="78">
        <v>36.150002000000001</v>
      </c>
    </row>
    <row r="1726" spans="2:4">
      <c r="B1726" s="76">
        <v>43349</v>
      </c>
      <c r="C1726" s="77">
        <v>16.079999999999998</v>
      </c>
      <c r="D1726" s="78">
        <v>36.009998000000003</v>
      </c>
    </row>
    <row r="1727" spans="2:4">
      <c r="B1727" s="76">
        <v>43350</v>
      </c>
      <c r="C1727" s="77">
        <v>15.96</v>
      </c>
      <c r="D1727" s="78">
        <v>35.950001</v>
      </c>
    </row>
    <row r="1728" spans="2:4">
      <c r="B1728" s="76">
        <v>43353</v>
      </c>
      <c r="C1728" s="77">
        <v>16.73</v>
      </c>
      <c r="D1728" s="78">
        <v>36.029998999999997</v>
      </c>
    </row>
    <row r="1729" spans="2:4">
      <c r="B1729" s="76">
        <v>43354</v>
      </c>
      <c r="C1729" s="77">
        <v>16.809999000000001</v>
      </c>
      <c r="D1729" s="78">
        <v>36.130001</v>
      </c>
    </row>
    <row r="1730" spans="2:4">
      <c r="B1730" s="76">
        <v>43355</v>
      </c>
      <c r="C1730" s="77">
        <v>17.110001</v>
      </c>
      <c r="D1730" s="78">
        <v>36.150002000000001</v>
      </c>
    </row>
    <row r="1731" spans="2:4">
      <c r="B1731" s="76">
        <v>43356</v>
      </c>
      <c r="C1731" s="77">
        <v>16.209999</v>
      </c>
      <c r="D1731" s="78">
        <v>36.299999</v>
      </c>
    </row>
    <row r="1732" spans="2:4">
      <c r="B1732" s="76">
        <v>43357</v>
      </c>
      <c r="C1732" s="77">
        <v>16.48</v>
      </c>
      <c r="D1732" s="78">
        <v>36.360000999999997</v>
      </c>
    </row>
    <row r="1733" spans="2:4">
      <c r="B1733" s="76">
        <v>43360</v>
      </c>
      <c r="C1733" s="77">
        <v>16.209999</v>
      </c>
      <c r="D1733" s="78">
        <v>36.119999</v>
      </c>
    </row>
    <row r="1734" spans="2:4">
      <c r="B1734" s="76">
        <v>43361</v>
      </c>
      <c r="C1734" s="77">
        <v>16.170000000000002</v>
      </c>
      <c r="D1734" s="78">
        <v>36.299999</v>
      </c>
    </row>
    <row r="1735" spans="2:4">
      <c r="B1735" s="76">
        <v>43362</v>
      </c>
      <c r="C1735" s="77">
        <v>15.99</v>
      </c>
      <c r="D1735" s="78">
        <v>36.310001</v>
      </c>
    </row>
    <row r="1736" spans="2:4">
      <c r="B1736" s="76">
        <v>43363</v>
      </c>
      <c r="C1736" s="77">
        <v>15.98</v>
      </c>
      <c r="D1736" s="78">
        <v>36.580002</v>
      </c>
    </row>
    <row r="1737" spans="2:4">
      <c r="B1737" s="76">
        <v>43364</v>
      </c>
      <c r="C1737" s="77">
        <v>15.68</v>
      </c>
      <c r="D1737" s="78">
        <v>36.369999</v>
      </c>
    </row>
    <row r="1738" spans="2:4">
      <c r="B1738" s="76">
        <v>43367</v>
      </c>
      <c r="C1738" s="77">
        <v>15.45</v>
      </c>
      <c r="D1738" s="78">
        <v>36.259998000000003</v>
      </c>
    </row>
    <row r="1739" spans="2:4">
      <c r="B1739" s="76">
        <v>43368</v>
      </c>
      <c r="C1739" s="77">
        <v>15.22</v>
      </c>
      <c r="D1739" s="78">
        <v>36.220001000000003</v>
      </c>
    </row>
    <row r="1740" spans="2:4">
      <c r="B1740" s="76">
        <v>43369</v>
      </c>
      <c r="C1740" s="77">
        <v>14.87</v>
      </c>
      <c r="D1740" s="78">
        <v>36.099997999999999</v>
      </c>
    </row>
    <row r="1741" spans="2:4">
      <c r="B1741" s="76">
        <v>43370</v>
      </c>
      <c r="C1741" s="77">
        <v>14.81</v>
      </c>
      <c r="D1741" s="78">
        <v>36.18</v>
      </c>
    </row>
    <row r="1742" spans="2:4">
      <c r="B1742" s="76">
        <v>43371</v>
      </c>
      <c r="C1742" s="77">
        <v>14.68</v>
      </c>
      <c r="D1742" s="78">
        <v>36.200001</v>
      </c>
    </row>
    <row r="1743" spans="2:4">
      <c r="B1743" s="76">
        <v>43374</v>
      </c>
      <c r="C1743" s="77">
        <v>14.1</v>
      </c>
      <c r="D1743" s="78">
        <v>36.259998000000003</v>
      </c>
    </row>
    <row r="1744" spans="2:4">
      <c r="B1744" s="76">
        <v>43375</v>
      </c>
      <c r="C1744" s="77">
        <v>14.08</v>
      </c>
      <c r="D1744" s="78">
        <v>36.209999000000003</v>
      </c>
    </row>
    <row r="1745" spans="2:4">
      <c r="B1745" s="76">
        <v>43376</v>
      </c>
      <c r="C1745" s="77">
        <v>14.22</v>
      </c>
      <c r="D1745" s="78">
        <v>36.259998000000003</v>
      </c>
    </row>
    <row r="1746" spans="2:4">
      <c r="B1746" s="76">
        <v>43377</v>
      </c>
      <c r="C1746" s="77">
        <v>14.07</v>
      </c>
      <c r="D1746" s="78">
        <v>35.939999</v>
      </c>
    </row>
    <row r="1747" spans="2:4">
      <c r="B1747" s="76">
        <v>43378</v>
      </c>
      <c r="C1747" s="77">
        <v>13.96</v>
      </c>
      <c r="D1747" s="78">
        <v>35.740001999999997</v>
      </c>
    </row>
    <row r="1748" spans="2:4">
      <c r="B1748" s="76">
        <v>43381</v>
      </c>
      <c r="C1748" s="77">
        <v>14.1</v>
      </c>
      <c r="D1748" s="78">
        <v>35.709999000000003</v>
      </c>
    </row>
    <row r="1749" spans="2:4">
      <c r="B1749" s="76">
        <v>43382</v>
      </c>
      <c r="C1749" s="77">
        <v>13.5</v>
      </c>
      <c r="D1749" s="78">
        <v>35.650002000000001</v>
      </c>
    </row>
    <row r="1750" spans="2:4">
      <c r="B1750" s="76">
        <v>43383</v>
      </c>
      <c r="C1750" s="77">
        <v>13.48</v>
      </c>
      <c r="D1750" s="78">
        <v>34.520000000000003</v>
      </c>
    </row>
    <row r="1751" spans="2:4">
      <c r="B1751" s="76">
        <v>43384</v>
      </c>
      <c r="C1751" s="77">
        <v>13.37</v>
      </c>
      <c r="D1751" s="78">
        <v>33.830002</v>
      </c>
    </row>
    <row r="1752" spans="2:4">
      <c r="B1752" s="76">
        <v>43385</v>
      </c>
      <c r="C1752" s="77">
        <v>13.09</v>
      </c>
      <c r="D1752" s="78">
        <v>34.229999999999997</v>
      </c>
    </row>
    <row r="1753" spans="2:4">
      <c r="B1753" s="76">
        <v>43388</v>
      </c>
      <c r="C1753" s="77">
        <v>13.16</v>
      </c>
      <c r="D1753" s="78">
        <v>34.07</v>
      </c>
    </row>
    <row r="1754" spans="2:4">
      <c r="B1754" s="76">
        <v>43389</v>
      </c>
      <c r="C1754" s="77">
        <v>13.65</v>
      </c>
      <c r="D1754" s="78">
        <v>34.799999</v>
      </c>
    </row>
    <row r="1755" spans="2:4">
      <c r="B1755" s="76">
        <v>43390</v>
      </c>
      <c r="C1755" s="77">
        <v>13.13</v>
      </c>
      <c r="D1755" s="78">
        <v>34.810001</v>
      </c>
    </row>
    <row r="1756" spans="2:4">
      <c r="B1756" s="76">
        <v>43391</v>
      </c>
      <c r="C1756" s="77">
        <v>12.54</v>
      </c>
      <c r="D1756" s="78">
        <v>34.290000999999997</v>
      </c>
    </row>
    <row r="1757" spans="2:4">
      <c r="B1757" s="76">
        <v>43392</v>
      </c>
      <c r="C1757" s="77">
        <v>12.11</v>
      </c>
      <c r="D1757" s="78">
        <v>34.220001000000003</v>
      </c>
    </row>
    <row r="1758" spans="2:4">
      <c r="B1758" s="76">
        <v>43395</v>
      </c>
      <c r="C1758" s="77">
        <v>11.82</v>
      </c>
      <c r="D1758" s="78">
        <v>34.090000000000003</v>
      </c>
    </row>
    <row r="1759" spans="2:4">
      <c r="B1759" s="76">
        <v>43396</v>
      </c>
      <c r="C1759" s="77">
        <v>12.15</v>
      </c>
      <c r="D1759" s="78">
        <v>33.889999000000003</v>
      </c>
    </row>
    <row r="1760" spans="2:4">
      <c r="B1760" s="76">
        <v>43397</v>
      </c>
      <c r="C1760" s="77">
        <v>11.96</v>
      </c>
      <c r="D1760" s="78">
        <v>32.840000000000003</v>
      </c>
    </row>
    <row r="1761" spans="2:4">
      <c r="B1761" s="76">
        <v>43398</v>
      </c>
      <c r="C1761" s="77">
        <v>12.31</v>
      </c>
      <c r="D1761" s="78">
        <v>33.419998</v>
      </c>
    </row>
    <row r="1762" spans="2:4">
      <c r="B1762" s="76">
        <v>43399</v>
      </c>
      <c r="C1762" s="77">
        <v>12.1</v>
      </c>
      <c r="D1762" s="78">
        <v>32.849997999999999</v>
      </c>
    </row>
    <row r="1763" spans="2:4">
      <c r="B1763" s="76">
        <v>43402</v>
      </c>
      <c r="C1763" s="77">
        <v>11.85</v>
      </c>
      <c r="D1763" s="78">
        <v>32.720001000000003</v>
      </c>
    </row>
    <row r="1764" spans="2:4">
      <c r="B1764" s="76">
        <v>43403</v>
      </c>
      <c r="C1764" s="77">
        <v>12.57</v>
      </c>
      <c r="D1764" s="78">
        <v>33.200001</v>
      </c>
    </row>
    <row r="1765" spans="2:4">
      <c r="B1765" s="76">
        <v>43404</v>
      </c>
      <c r="C1765" s="77">
        <v>12.38</v>
      </c>
      <c r="D1765" s="78">
        <v>33.549999</v>
      </c>
    </row>
    <row r="1766" spans="2:4">
      <c r="B1766" s="76">
        <v>43405</v>
      </c>
      <c r="C1766" s="77">
        <v>13.08</v>
      </c>
      <c r="D1766" s="78">
        <v>33.979999999999997</v>
      </c>
    </row>
    <row r="1767" spans="2:4">
      <c r="B1767" s="76">
        <v>43406</v>
      </c>
      <c r="C1767" s="77">
        <v>14.58</v>
      </c>
      <c r="D1767" s="78">
        <v>33.810001</v>
      </c>
    </row>
    <row r="1768" spans="2:4">
      <c r="B1768" s="76">
        <v>43409</v>
      </c>
      <c r="C1768" s="77">
        <v>13.71</v>
      </c>
      <c r="D1768" s="78">
        <v>33.919998</v>
      </c>
    </row>
    <row r="1769" spans="2:4">
      <c r="B1769" s="76">
        <v>43410</v>
      </c>
      <c r="C1769" s="77">
        <v>13.86</v>
      </c>
      <c r="D1769" s="78">
        <v>34.139999000000003</v>
      </c>
    </row>
    <row r="1770" spans="2:4">
      <c r="B1770" s="76">
        <v>43411</v>
      </c>
      <c r="C1770" s="77">
        <v>13.61</v>
      </c>
      <c r="D1770" s="78">
        <v>34.830002</v>
      </c>
    </row>
    <row r="1771" spans="2:4">
      <c r="B1771" s="76">
        <v>43412</v>
      </c>
      <c r="C1771" s="77">
        <v>13.06</v>
      </c>
      <c r="D1771" s="78">
        <v>34.779998999999997</v>
      </c>
    </row>
    <row r="1772" spans="2:4">
      <c r="B1772" s="76">
        <v>43413</v>
      </c>
      <c r="C1772" s="77">
        <v>12.83</v>
      </c>
      <c r="D1772" s="78">
        <v>34.419998</v>
      </c>
    </row>
    <row r="1773" spans="2:4">
      <c r="B1773" s="76">
        <v>43416</v>
      </c>
      <c r="C1773" s="77">
        <v>12.63</v>
      </c>
      <c r="D1773" s="78">
        <v>33.75</v>
      </c>
    </row>
    <row r="1774" spans="2:4">
      <c r="B1774" s="76">
        <v>43417</v>
      </c>
      <c r="C1774" s="77">
        <v>13.03</v>
      </c>
      <c r="D1774" s="78">
        <v>33.689999</v>
      </c>
    </row>
    <row r="1775" spans="2:4">
      <c r="B1775" s="76">
        <v>43418</v>
      </c>
      <c r="C1775" s="77">
        <v>12.85</v>
      </c>
      <c r="D1775" s="78">
        <v>33.419998</v>
      </c>
    </row>
    <row r="1776" spans="2:4">
      <c r="B1776" s="76">
        <v>43419</v>
      </c>
      <c r="C1776" s="77">
        <v>12.38</v>
      </c>
      <c r="D1776" s="78">
        <v>33.830002</v>
      </c>
    </row>
    <row r="1777" spans="2:4">
      <c r="B1777" s="76">
        <v>43420</v>
      </c>
      <c r="C1777" s="77">
        <v>12.43</v>
      </c>
      <c r="D1777" s="78">
        <v>33.900002000000001</v>
      </c>
    </row>
    <row r="1778" spans="2:4">
      <c r="B1778" s="76">
        <v>43423</v>
      </c>
      <c r="C1778" s="77">
        <v>12.55</v>
      </c>
      <c r="D1778" s="78">
        <v>33.290000999999997</v>
      </c>
    </row>
    <row r="1779" spans="2:4">
      <c r="B1779" s="76">
        <v>43424</v>
      </c>
      <c r="C1779" s="77">
        <v>12.51</v>
      </c>
      <c r="D1779" s="78">
        <v>32.669998</v>
      </c>
    </row>
    <row r="1780" spans="2:4">
      <c r="B1780" s="76">
        <v>43425</v>
      </c>
      <c r="C1780" s="77">
        <v>12.88</v>
      </c>
      <c r="D1780" s="78">
        <v>32.82</v>
      </c>
    </row>
    <row r="1781" spans="2:4">
      <c r="B1781" s="76">
        <v>43427</v>
      </c>
      <c r="C1781" s="77">
        <v>12.92</v>
      </c>
      <c r="D1781" s="78">
        <v>32.659999999999997</v>
      </c>
    </row>
    <row r="1782" spans="2:4">
      <c r="B1782" s="76">
        <v>43430</v>
      </c>
      <c r="C1782" s="77">
        <v>12.9</v>
      </c>
      <c r="D1782" s="78">
        <v>33.169998</v>
      </c>
    </row>
    <row r="1783" spans="2:4">
      <c r="B1783" s="76">
        <v>43431</v>
      </c>
      <c r="C1783" s="77">
        <v>13.02</v>
      </c>
      <c r="D1783" s="78">
        <v>33.18</v>
      </c>
    </row>
    <row r="1784" spans="2:4">
      <c r="B1784" s="76">
        <v>43432</v>
      </c>
      <c r="C1784" s="77">
        <v>13.45</v>
      </c>
      <c r="D1784" s="78">
        <v>34.009998000000003</v>
      </c>
    </row>
    <row r="1785" spans="2:4">
      <c r="B1785" s="76">
        <v>43433</v>
      </c>
      <c r="C1785" s="77">
        <v>13.39</v>
      </c>
      <c r="D1785" s="78">
        <v>33.919998</v>
      </c>
    </row>
    <row r="1786" spans="2:4">
      <c r="B1786" s="76">
        <v>43434</v>
      </c>
      <c r="C1786" s="77">
        <v>13.53</v>
      </c>
      <c r="D1786" s="78">
        <v>34.040000999999997</v>
      </c>
    </row>
    <row r="1787" spans="2:4">
      <c r="B1787" s="76">
        <v>43437</v>
      </c>
      <c r="C1787" s="77">
        <v>14.28</v>
      </c>
      <c r="D1787" s="78">
        <v>34.580002</v>
      </c>
    </row>
    <row r="1788" spans="2:4">
      <c r="B1788" s="76">
        <v>43438</v>
      </c>
      <c r="C1788" s="77">
        <v>12.25</v>
      </c>
      <c r="D1788" s="78">
        <v>33.479999999999997</v>
      </c>
    </row>
    <row r="1789" spans="2:4">
      <c r="B1789" s="76">
        <v>43440</v>
      </c>
      <c r="C1789" s="77">
        <v>12.5</v>
      </c>
      <c r="D1789" s="78">
        <v>33.43</v>
      </c>
    </row>
    <row r="1790" spans="2:4">
      <c r="B1790" s="76">
        <v>43441</v>
      </c>
      <c r="C1790" s="77">
        <v>12.04</v>
      </c>
      <c r="D1790" s="78">
        <v>32.650002000000001</v>
      </c>
    </row>
    <row r="1791" spans="2:4">
      <c r="B1791" s="76">
        <v>43444</v>
      </c>
      <c r="C1791" s="77">
        <v>11.57</v>
      </c>
      <c r="D1791" s="78">
        <v>32.68</v>
      </c>
    </row>
    <row r="1792" spans="2:4">
      <c r="B1792" s="76">
        <v>43445</v>
      </c>
      <c r="C1792" s="77">
        <v>11.41</v>
      </c>
      <c r="D1792" s="78">
        <v>32.659999999999997</v>
      </c>
    </row>
    <row r="1793" spans="2:4">
      <c r="B1793" s="76">
        <v>43446</v>
      </c>
      <c r="C1793" s="77">
        <v>11.33</v>
      </c>
      <c r="D1793" s="78">
        <v>32.869999</v>
      </c>
    </row>
    <row r="1794" spans="2:4">
      <c r="B1794" s="76">
        <v>43447</v>
      </c>
      <c r="C1794" s="77">
        <v>11.16</v>
      </c>
      <c r="D1794" s="78">
        <v>32.810001</v>
      </c>
    </row>
    <row r="1795" spans="2:4">
      <c r="B1795" s="76">
        <v>43448</v>
      </c>
      <c r="C1795" s="77">
        <v>10.98</v>
      </c>
      <c r="D1795" s="78">
        <v>32.189999</v>
      </c>
    </row>
    <row r="1796" spans="2:4">
      <c r="B1796" s="76">
        <v>43451</v>
      </c>
      <c r="C1796" s="77">
        <v>10.88</v>
      </c>
      <c r="D1796" s="78">
        <v>31.459999</v>
      </c>
    </row>
    <row r="1797" spans="2:4">
      <c r="B1797" s="76">
        <v>43452</v>
      </c>
      <c r="C1797" s="77">
        <v>11.4</v>
      </c>
      <c r="D1797" s="78">
        <v>31.5</v>
      </c>
    </row>
    <row r="1798" spans="2:4">
      <c r="B1798" s="76">
        <v>43453</v>
      </c>
      <c r="C1798" s="77">
        <v>11.36</v>
      </c>
      <c r="D1798" s="78">
        <v>31.01</v>
      </c>
    </row>
    <row r="1799" spans="2:4">
      <c r="B1799" s="76">
        <v>43454</v>
      </c>
      <c r="C1799" s="77">
        <v>10.97</v>
      </c>
      <c r="D1799" s="78">
        <v>30.52</v>
      </c>
    </row>
    <row r="1800" spans="2:4">
      <c r="B1800" s="76">
        <v>43455</v>
      </c>
      <c r="C1800" s="77">
        <v>10.74</v>
      </c>
      <c r="D1800" s="78">
        <v>29.67</v>
      </c>
    </row>
    <row r="1801" spans="2:4">
      <c r="B1801" s="76">
        <v>43458</v>
      </c>
      <c r="C1801" s="77">
        <v>10.23</v>
      </c>
      <c r="D1801" s="78">
        <v>28.9</v>
      </c>
    </row>
    <row r="1802" spans="2:4">
      <c r="B1802" s="76">
        <v>43460</v>
      </c>
      <c r="C1802" s="77">
        <v>10.8</v>
      </c>
      <c r="D1802" s="78">
        <v>30.34</v>
      </c>
    </row>
    <row r="1803" spans="2:4">
      <c r="B1803" s="76">
        <v>43461</v>
      </c>
      <c r="C1803" s="77">
        <v>10.92</v>
      </c>
      <c r="D1803" s="78">
        <v>30.610001</v>
      </c>
    </row>
    <row r="1804" spans="2:4">
      <c r="B1804" s="76">
        <v>43462</v>
      </c>
      <c r="C1804" s="77">
        <v>10.94</v>
      </c>
      <c r="D1804" s="78">
        <v>30.58</v>
      </c>
    </row>
    <row r="1805" spans="2:4">
      <c r="B1805" s="76">
        <v>43465</v>
      </c>
      <c r="C1805" s="77">
        <v>10.91</v>
      </c>
      <c r="D1805" s="78">
        <v>30.91</v>
      </c>
    </row>
    <row r="1806" spans="2:4">
      <c r="B1806" s="76">
        <v>43467</v>
      </c>
      <c r="C1806" s="77">
        <v>11.51</v>
      </c>
      <c r="D1806" s="78">
        <v>30.91</v>
      </c>
    </row>
    <row r="1807" spans="2:4">
      <c r="B1807" s="76">
        <v>43468</v>
      </c>
      <c r="C1807" s="77">
        <v>11.48</v>
      </c>
      <c r="D1807" s="78">
        <v>30.18</v>
      </c>
    </row>
    <row r="1808" spans="2:4">
      <c r="B1808" s="76">
        <v>43469</v>
      </c>
      <c r="C1808" s="77">
        <v>12.1</v>
      </c>
      <c r="D1808" s="78">
        <v>31.23</v>
      </c>
    </row>
    <row r="1809" spans="2:4">
      <c r="B1809" s="76">
        <v>43472</v>
      </c>
      <c r="C1809" s="77">
        <v>12.5</v>
      </c>
      <c r="D1809" s="78">
        <v>31.530000999999999</v>
      </c>
    </row>
    <row r="1810" spans="2:4">
      <c r="B1810" s="76">
        <v>43473</v>
      </c>
      <c r="C1810" s="77">
        <v>12.59</v>
      </c>
      <c r="D1810" s="78">
        <v>31.870000999999998</v>
      </c>
    </row>
    <row r="1811" spans="2:4">
      <c r="B1811" s="76">
        <v>43474</v>
      </c>
      <c r="C1811" s="77">
        <v>12.93</v>
      </c>
      <c r="D1811" s="78">
        <v>32.049999</v>
      </c>
    </row>
    <row r="1812" spans="2:4">
      <c r="B1812" s="76">
        <v>43475</v>
      </c>
      <c r="C1812" s="77">
        <v>12.4</v>
      </c>
      <c r="D1812" s="78">
        <v>32.169998</v>
      </c>
    </row>
    <row r="1813" spans="2:4">
      <c r="B1813" s="76">
        <v>43476</v>
      </c>
      <c r="C1813" s="77">
        <v>12.42</v>
      </c>
      <c r="D1813" s="78">
        <v>32.18</v>
      </c>
    </row>
    <row r="1814" spans="2:4">
      <c r="B1814" s="76">
        <v>43479</v>
      </c>
      <c r="C1814" s="77">
        <v>12.4</v>
      </c>
      <c r="D1814" s="78">
        <v>32</v>
      </c>
    </row>
    <row r="1815" spans="2:4">
      <c r="B1815" s="76">
        <v>43480</v>
      </c>
      <c r="C1815" s="77">
        <v>12.21</v>
      </c>
      <c r="D1815" s="78">
        <v>32.340000000000003</v>
      </c>
    </row>
    <row r="1816" spans="2:4">
      <c r="B1816" s="76">
        <v>43481</v>
      </c>
      <c r="C1816" s="77">
        <v>12.15</v>
      </c>
      <c r="D1816" s="78">
        <v>32.439999</v>
      </c>
    </row>
    <row r="1817" spans="2:4">
      <c r="B1817" s="76">
        <v>43482</v>
      </c>
      <c r="C1817" s="77">
        <v>12.5</v>
      </c>
      <c r="D1817" s="78">
        <v>32.720001000000003</v>
      </c>
    </row>
    <row r="1818" spans="2:4">
      <c r="B1818" s="76">
        <v>43483</v>
      </c>
      <c r="C1818" s="77">
        <v>12.52</v>
      </c>
      <c r="D1818" s="78">
        <v>33.119999</v>
      </c>
    </row>
    <row r="1819" spans="2:4">
      <c r="B1819" s="76">
        <v>43487</v>
      </c>
      <c r="C1819" s="77">
        <v>12.37</v>
      </c>
      <c r="D1819" s="78">
        <v>32.68</v>
      </c>
    </row>
    <row r="1820" spans="2:4">
      <c r="B1820" s="76">
        <v>43488</v>
      </c>
      <c r="C1820" s="77">
        <v>12.1</v>
      </c>
      <c r="D1820" s="78">
        <v>32.720001000000003</v>
      </c>
    </row>
    <row r="1821" spans="2:4">
      <c r="B1821" s="76">
        <v>43489</v>
      </c>
      <c r="C1821" s="77">
        <v>12.6</v>
      </c>
      <c r="D1821" s="78">
        <v>32.790000999999997</v>
      </c>
    </row>
    <row r="1822" spans="2:4">
      <c r="B1822" s="76">
        <v>43490</v>
      </c>
      <c r="C1822" s="77">
        <v>12.69</v>
      </c>
      <c r="D1822" s="78">
        <v>33.099997999999999</v>
      </c>
    </row>
    <row r="1823" spans="2:4">
      <c r="B1823" s="76">
        <v>43493</v>
      </c>
      <c r="C1823" s="77">
        <v>12.79</v>
      </c>
      <c r="D1823" s="78">
        <v>32.889999000000003</v>
      </c>
    </row>
    <row r="1824" spans="2:4">
      <c r="B1824" s="76">
        <v>43494</v>
      </c>
      <c r="C1824" s="77">
        <v>12.79</v>
      </c>
      <c r="D1824" s="78">
        <v>32.830002</v>
      </c>
    </row>
    <row r="1825" spans="2:4">
      <c r="B1825" s="76">
        <v>43495</v>
      </c>
      <c r="C1825" s="77">
        <v>12.98</v>
      </c>
      <c r="D1825" s="78">
        <v>33.340000000000003</v>
      </c>
    </row>
    <row r="1826" spans="2:4">
      <c r="B1826" s="76">
        <v>43496</v>
      </c>
      <c r="C1826" s="77">
        <v>13.22</v>
      </c>
      <c r="D1826" s="78">
        <v>33.619999</v>
      </c>
    </row>
    <row r="1827" spans="2:4">
      <c r="B1827" s="76">
        <v>43497</v>
      </c>
      <c r="C1827" s="77">
        <v>13.31</v>
      </c>
      <c r="D1827" s="78">
        <v>33.650002000000001</v>
      </c>
    </row>
    <row r="1828" spans="2:4">
      <c r="B1828" s="76">
        <v>43500</v>
      </c>
      <c r="C1828" s="77">
        <v>13.42</v>
      </c>
      <c r="D1828" s="78">
        <v>33.909999999999997</v>
      </c>
    </row>
    <row r="1829" spans="2:4">
      <c r="B1829" s="76">
        <v>43501</v>
      </c>
      <c r="C1829" s="77">
        <v>13.52</v>
      </c>
      <c r="D1829" s="78">
        <v>34.060001</v>
      </c>
    </row>
    <row r="1830" spans="2:4">
      <c r="B1830" s="76">
        <v>43502</v>
      </c>
      <c r="C1830" s="77">
        <v>13.3</v>
      </c>
      <c r="D1830" s="78">
        <v>34.020000000000003</v>
      </c>
    </row>
    <row r="1831" spans="2:4">
      <c r="B1831" s="76">
        <v>43503</v>
      </c>
      <c r="C1831" s="77">
        <v>13.02</v>
      </c>
      <c r="D1831" s="78">
        <v>33.720001000000003</v>
      </c>
    </row>
    <row r="1832" spans="2:4">
      <c r="B1832" s="76">
        <v>43504</v>
      </c>
      <c r="C1832" s="77">
        <v>12.79</v>
      </c>
      <c r="D1832" s="78">
        <v>33.75</v>
      </c>
    </row>
    <row r="1833" spans="2:4">
      <c r="B1833" s="76">
        <v>43507</v>
      </c>
      <c r="C1833" s="77">
        <v>13.05</v>
      </c>
      <c r="D1833" s="78">
        <v>33.810001</v>
      </c>
    </row>
    <row r="1834" spans="2:4">
      <c r="B1834" s="76">
        <v>43508</v>
      </c>
      <c r="C1834" s="77">
        <v>13.59</v>
      </c>
      <c r="D1834" s="78">
        <v>34.220001000000003</v>
      </c>
    </row>
    <row r="1835" spans="2:4">
      <c r="B1835" s="76">
        <v>43509</v>
      </c>
      <c r="C1835" s="77">
        <v>13.56</v>
      </c>
      <c r="D1835" s="78">
        <v>34.330002</v>
      </c>
    </row>
    <row r="1836" spans="2:4">
      <c r="B1836" s="76">
        <v>43510</v>
      </c>
      <c r="C1836" s="77">
        <v>13.52</v>
      </c>
      <c r="D1836" s="78">
        <v>34.270000000000003</v>
      </c>
    </row>
    <row r="1837" spans="2:4">
      <c r="B1837" s="76">
        <v>43511</v>
      </c>
      <c r="C1837" s="77">
        <v>13.62</v>
      </c>
      <c r="D1837" s="78">
        <v>34.669998</v>
      </c>
    </row>
    <row r="1838" spans="2:4">
      <c r="B1838" s="76">
        <v>43515</v>
      </c>
      <c r="C1838" s="77">
        <v>14.13</v>
      </c>
      <c r="D1838" s="78">
        <v>34.729999999999997</v>
      </c>
    </row>
    <row r="1839" spans="2:4">
      <c r="B1839" s="76">
        <v>43516</v>
      </c>
      <c r="C1839" s="77">
        <v>13.79</v>
      </c>
      <c r="D1839" s="78">
        <v>34.810001</v>
      </c>
    </row>
    <row r="1840" spans="2:4">
      <c r="B1840" s="76">
        <v>43517</v>
      </c>
      <c r="C1840" s="77">
        <v>13.85</v>
      </c>
      <c r="D1840" s="78">
        <v>34.68</v>
      </c>
    </row>
    <row r="1841" spans="2:4">
      <c r="B1841" s="76">
        <v>43518</v>
      </c>
      <c r="C1841" s="77">
        <v>14.19</v>
      </c>
      <c r="D1841" s="78">
        <v>34.889999000000003</v>
      </c>
    </row>
    <row r="1842" spans="2:4">
      <c r="B1842" s="76">
        <v>43521</v>
      </c>
      <c r="C1842" s="77">
        <v>13.99</v>
      </c>
      <c r="D1842" s="78">
        <v>34.950001</v>
      </c>
    </row>
    <row r="1843" spans="2:4">
      <c r="B1843" s="76">
        <v>43522</v>
      </c>
      <c r="C1843" s="77">
        <v>13.97</v>
      </c>
      <c r="D1843" s="78">
        <v>34.909999999999997</v>
      </c>
    </row>
    <row r="1844" spans="2:4">
      <c r="B1844" s="76">
        <v>43523</v>
      </c>
      <c r="C1844" s="77">
        <v>13.73</v>
      </c>
      <c r="D1844" s="78">
        <v>34.909999999999997</v>
      </c>
    </row>
    <row r="1845" spans="2:4">
      <c r="B1845" s="76">
        <v>43524</v>
      </c>
      <c r="C1845" s="77">
        <v>13.93</v>
      </c>
      <c r="D1845" s="78">
        <v>34.830002</v>
      </c>
    </row>
    <row r="1846" spans="2:4">
      <c r="B1846" s="76">
        <v>43525</v>
      </c>
      <c r="C1846" s="77">
        <v>14.03</v>
      </c>
      <c r="D1846" s="78">
        <v>35.07</v>
      </c>
    </row>
    <row r="1847" spans="2:4">
      <c r="B1847" s="76">
        <v>43528</v>
      </c>
      <c r="C1847" s="77">
        <v>14.57</v>
      </c>
      <c r="D1847" s="78">
        <v>34.880001</v>
      </c>
    </row>
    <row r="1848" spans="2:4">
      <c r="B1848" s="76">
        <v>43529</v>
      </c>
      <c r="C1848" s="77">
        <v>13.81</v>
      </c>
      <c r="D1848" s="78">
        <v>34.840000000000003</v>
      </c>
    </row>
    <row r="1849" spans="2:4">
      <c r="B1849" s="76">
        <v>43530</v>
      </c>
      <c r="C1849" s="77">
        <v>13.52</v>
      </c>
      <c r="D1849" s="78">
        <v>34.57</v>
      </c>
    </row>
    <row r="1850" spans="2:4">
      <c r="B1850" s="76">
        <v>43531</v>
      </c>
      <c r="C1850" s="77">
        <v>13.46</v>
      </c>
      <c r="D1850" s="78">
        <v>34.279998999999997</v>
      </c>
    </row>
    <row r="1851" spans="2:4">
      <c r="B1851" s="76">
        <v>43532</v>
      </c>
      <c r="C1851" s="77">
        <v>13.64</v>
      </c>
      <c r="D1851" s="78">
        <v>34.200001</v>
      </c>
    </row>
    <row r="1852" spans="2:4">
      <c r="B1852" s="76">
        <v>43535</v>
      </c>
      <c r="C1852" s="77">
        <v>13.79</v>
      </c>
      <c r="D1852" s="78">
        <v>34.720001000000003</v>
      </c>
    </row>
    <row r="1853" spans="2:4">
      <c r="B1853" s="76">
        <v>43536</v>
      </c>
      <c r="C1853" s="77">
        <v>13.79</v>
      </c>
      <c r="D1853" s="78">
        <v>34.82</v>
      </c>
    </row>
    <row r="1854" spans="2:4">
      <c r="B1854" s="76">
        <v>43537</v>
      </c>
      <c r="C1854" s="77">
        <v>13.6</v>
      </c>
      <c r="D1854" s="78">
        <v>35.049999</v>
      </c>
    </row>
    <row r="1855" spans="2:4">
      <c r="B1855" s="76">
        <v>43538</v>
      </c>
      <c r="C1855" s="77">
        <v>13.58</v>
      </c>
      <c r="D1855" s="78">
        <v>35.029998999999997</v>
      </c>
    </row>
    <row r="1856" spans="2:4">
      <c r="B1856" s="76">
        <v>43539</v>
      </c>
      <c r="C1856" s="77">
        <v>13.51</v>
      </c>
      <c r="D1856" s="78">
        <v>35.040000999999997</v>
      </c>
    </row>
    <row r="1857" spans="2:4">
      <c r="B1857" s="76">
        <v>43542</v>
      </c>
      <c r="C1857" s="77">
        <v>13.67</v>
      </c>
      <c r="D1857" s="78">
        <v>35.169998</v>
      </c>
    </row>
    <row r="1858" spans="2:4">
      <c r="B1858" s="76">
        <v>43543</v>
      </c>
      <c r="C1858" s="77">
        <v>13.29</v>
      </c>
      <c r="D1858" s="78">
        <v>35.169998</v>
      </c>
    </row>
    <row r="1859" spans="2:4">
      <c r="B1859" s="76">
        <v>43544</v>
      </c>
      <c r="C1859" s="77">
        <v>13.02</v>
      </c>
      <c r="D1859" s="78">
        <v>35.029998999999997</v>
      </c>
    </row>
    <row r="1860" spans="2:4">
      <c r="B1860" s="76">
        <v>43545</v>
      </c>
      <c r="C1860" s="77">
        <v>13.19</v>
      </c>
      <c r="D1860" s="78">
        <v>35.450001</v>
      </c>
    </row>
    <row r="1861" spans="2:4">
      <c r="B1861" s="76">
        <v>43546</v>
      </c>
      <c r="C1861" s="77">
        <v>12.55</v>
      </c>
      <c r="D1861" s="78">
        <v>34.68</v>
      </c>
    </row>
    <row r="1862" spans="2:4">
      <c r="B1862" s="76">
        <v>43549</v>
      </c>
      <c r="C1862" s="77">
        <v>12.77</v>
      </c>
      <c r="D1862" s="78">
        <v>34.689999</v>
      </c>
    </row>
    <row r="1863" spans="2:4">
      <c r="B1863" s="76">
        <v>43550</v>
      </c>
      <c r="C1863" s="77">
        <v>12.75</v>
      </c>
      <c r="D1863" s="78">
        <v>34.950001</v>
      </c>
    </row>
    <row r="1864" spans="2:4">
      <c r="B1864" s="76">
        <v>43551</v>
      </c>
      <c r="C1864" s="77">
        <v>13.08</v>
      </c>
      <c r="D1864" s="78">
        <v>34.770000000000003</v>
      </c>
    </row>
    <row r="1865" spans="2:4">
      <c r="B1865" s="76">
        <v>43552</v>
      </c>
      <c r="C1865" s="77">
        <v>13.18</v>
      </c>
      <c r="D1865" s="78">
        <v>34.939999</v>
      </c>
    </row>
    <row r="1866" spans="2:4">
      <c r="B1866" s="76">
        <v>43553</v>
      </c>
      <c r="C1866" s="77">
        <v>13.34</v>
      </c>
      <c r="D1866" s="78">
        <v>35.18</v>
      </c>
    </row>
    <row r="1867" spans="2:4">
      <c r="B1867" s="76">
        <v>43556</v>
      </c>
      <c r="C1867" s="77">
        <v>13.72</v>
      </c>
      <c r="D1867" s="78">
        <v>35.590000000000003</v>
      </c>
    </row>
    <row r="1868" spans="2:4">
      <c r="B1868" s="76">
        <v>43557</v>
      </c>
      <c r="C1868" s="77">
        <v>13.48</v>
      </c>
      <c r="D1868" s="78">
        <v>35.599997999999999</v>
      </c>
    </row>
    <row r="1869" spans="2:4">
      <c r="B1869" s="76">
        <v>43558</v>
      </c>
      <c r="C1869" s="77">
        <v>13.63</v>
      </c>
      <c r="D1869" s="78">
        <v>35.68</v>
      </c>
    </row>
    <row r="1870" spans="2:4">
      <c r="B1870" s="76">
        <v>43559</v>
      </c>
      <c r="C1870" s="77">
        <v>14.2</v>
      </c>
      <c r="D1870" s="78">
        <v>35.75</v>
      </c>
    </row>
    <row r="1871" spans="2:4">
      <c r="B1871" s="76">
        <v>43560</v>
      </c>
      <c r="C1871" s="77">
        <v>14.2</v>
      </c>
      <c r="D1871" s="78">
        <v>35.939999</v>
      </c>
    </row>
    <row r="1872" spans="2:4">
      <c r="B1872" s="76">
        <v>43563</v>
      </c>
      <c r="C1872" s="77">
        <v>14.42</v>
      </c>
      <c r="D1872" s="78">
        <v>35.970001000000003</v>
      </c>
    </row>
    <row r="1873" spans="2:4">
      <c r="B1873" s="76">
        <v>43564</v>
      </c>
      <c r="C1873" s="77">
        <v>14.04</v>
      </c>
      <c r="D1873" s="78">
        <v>35.729999999999997</v>
      </c>
    </row>
    <row r="1874" spans="2:4">
      <c r="B1874" s="76">
        <v>43565</v>
      </c>
      <c r="C1874" s="77">
        <v>14.15</v>
      </c>
      <c r="D1874" s="78">
        <v>35.93</v>
      </c>
    </row>
    <row r="1875" spans="2:4">
      <c r="B1875" s="76">
        <v>43566</v>
      </c>
      <c r="C1875" s="77">
        <v>14.34</v>
      </c>
      <c r="D1875" s="78">
        <v>35.900002000000001</v>
      </c>
    </row>
    <row r="1876" spans="2:4">
      <c r="B1876" s="76">
        <v>43567</v>
      </c>
      <c r="C1876" s="77">
        <v>14.4</v>
      </c>
      <c r="D1876" s="78">
        <v>36.150002000000001</v>
      </c>
    </row>
    <row r="1877" spans="2:4">
      <c r="B1877" s="76">
        <v>43570</v>
      </c>
      <c r="C1877" s="77">
        <v>14.27</v>
      </c>
      <c r="D1877" s="78">
        <v>36.119999</v>
      </c>
    </row>
    <row r="1878" spans="2:4">
      <c r="B1878" s="76">
        <v>43571</v>
      </c>
      <c r="C1878" s="77">
        <v>14.05</v>
      </c>
      <c r="D1878" s="78">
        <v>36.119999</v>
      </c>
    </row>
    <row r="1879" spans="2:4">
      <c r="B1879" s="76">
        <v>43572</v>
      </c>
      <c r="C1879" s="77">
        <v>14</v>
      </c>
      <c r="D1879" s="78">
        <v>36.009998000000003</v>
      </c>
    </row>
    <row r="1880" spans="2:4">
      <c r="B1880" s="76">
        <v>43573</v>
      </c>
      <c r="C1880" s="77">
        <v>14.09</v>
      </c>
      <c r="D1880" s="78">
        <v>36.049999</v>
      </c>
    </row>
    <row r="1881" spans="2:4">
      <c r="B1881" s="76">
        <v>43577</v>
      </c>
      <c r="C1881" s="77">
        <v>13.54</v>
      </c>
      <c r="D1881" s="78">
        <v>36.099997999999999</v>
      </c>
    </row>
    <row r="1882" spans="2:4">
      <c r="B1882" s="76">
        <v>43578</v>
      </c>
      <c r="C1882" s="77">
        <v>13.95</v>
      </c>
      <c r="D1882" s="78">
        <v>36.450001</v>
      </c>
    </row>
    <row r="1883" spans="2:4">
      <c r="B1883" s="76">
        <v>43579</v>
      </c>
      <c r="C1883" s="77">
        <v>14</v>
      </c>
      <c r="D1883" s="78">
        <v>36.400002000000001</v>
      </c>
    </row>
    <row r="1884" spans="2:4">
      <c r="B1884" s="76">
        <v>43580</v>
      </c>
      <c r="C1884" s="77">
        <v>13.74</v>
      </c>
      <c r="D1884" s="78">
        <v>36.330002</v>
      </c>
    </row>
    <row r="1885" spans="2:4">
      <c r="B1885" s="76">
        <v>43581</v>
      </c>
      <c r="C1885" s="77">
        <v>13.94</v>
      </c>
      <c r="D1885" s="78">
        <v>36.490001999999997</v>
      </c>
    </row>
    <row r="1886" spans="2:4">
      <c r="B1886" s="76">
        <v>43584</v>
      </c>
      <c r="C1886" s="77">
        <v>14.16</v>
      </c>
      <c r="D1886" s="78">
        <v>36.540000999999997</v>
      </c>
    </row>
    <row r="1887" spans="2:4">
      <c r="B1887" s="76">
        <v>43585</v>
      </c>
      <c r="C1887" s="77">
        <v>13.78</v>
      </c>
      <c r="D1887" s="78">
        <v>36.580002</v>
      </c>
    </row>
    <row r="1888" spans="2:4">
      <c r="B1888" s="76">
        <v>43586</v>
      </c>
      <c r="C1888" s="77">
        <v>14.35</v>
      </c>
      <c r="D1888" s="78">
        <v>36.330002</v>
      </c>
    </row>
    <row r="1889" spans="2:4">
      <c r="B1889" s="76">
        <v>43587</v>
      </c>
      <c r="C1889" s="77">
        <v>14.71</v>
      </c>
      <c r="D1889" s="78">
        <v>36.259998000000003</v>
      </c>
    </row>
    <row r="1890" spans="2:4">
      <c r="B1890" s="76">
        <v>43588</v>
      </c>
      <c r="C1890" s="77">
        <v>16.790001</v>
      </c>
      <c r="D1890" s="78">
        <v>36.650002000000001</v>
      </c>
    </row>
    <row r="1891" spans="2:4">
      <c r="B1891" s="76">
        <v>43591</v>
      </c>
      <c r="C1891" s="77">
        <v>16.82</v>
      </c>
      <c r="D1891" s="78">
        <v>36.549999</v>
      </c>
    </row>
    <row r="1892" spans="2:4">
      <c r="B1892" s="76">
        <v>43592</v>
      </c>
      <c r="C1892" s="77">
        <v>16.700001</v>
      </c>
      <c r="D1892" s="78">
        <v>35.900002000000001</v>
      </c>
    </row>
    <row r="1893" spans="2:4">
      <c r="B1893" s="76">
        <v>43593</v>
      </c>
      <c r="C1893" s="77">
        <v>16.600000000000001</v>
      </c>
      <c r="D1893" s="78">
        <v>35.860000999999997</v>
      </c>
    </row>
    <row r="1894" spans="2:4">
      <c r="B1894" s="76">
        <v>43594</v>
      </c>
      <c r="C1894" s="77">
        <v>16.700001</v>
      </c>
      <c r="D1894" s="78">
        <v>35.740001999999997</v>
      </c>
    </row>
    <row r="1895" spans="2:4">
      <c r="B1895" s="76">
        <v>43595</v>
      </c>
      <c r="C1895" s="77">
        <v>16.48</v>
      </c>
      <c r="D1895" s="78">
        <v>35.880001</v>
      </c>
    </row>
    <row r="1896" spans="2:4">
      <c r="B1896" s="76">
        <v>43598</v>
      </c>
      <c r="C1896" s="77">
        <v>15.81</v>
      </c>
      <c r="D1896" s="78">
        <v>34.979999999999997</v>
      </c>
    </row>
    <row r="1897" spans="2:4">
      <c r="B1897" s="76">
        <v>43599</v>
      </c>
      <c r="C1897" s="77">
        <v>16.079999999999998</v>
      </c>
      <c r="D1897" s="78">
        <v>35.32</v>
      </c>
    </row>
    <row r="1898" spans="2:4">
      <c r="B1898" s="76">
        <v>43600</v>
      </c>
      <c r="C1898" s="77">
        <v>16.149999999999999</v>
      </c>
      <c r="D1898" s="78">
        <v>35.5</v>
      </c>
    </row>
    <row r="1899" spans="2:4">
      <c r="B1899" s="76">
        <v>43601</v>
      </c>
      <c r="C1899" s="77">
        <v>15.97</v>
      </c>
      <c r="D1899" s="78">
        <v>35.799999</v>
      </c>
    </row>
    <row r="1900" spans="2:4">
      <c r="B1900" s="76">
        <v>43602</v>
      </c>
      <c r="C1900" s="77">
        <v>15.82</v>
      </c>
      <c r="D1900" s="78">
        <v>35.580002</v>
      </c>
    </row>
    <row r="1901" spans="2:4">
      <c r="B1901" s="76">
        <v>43605</v>
      </c>
      <c r="C1901" s="77">
        <v>15.4</v>
      </c>
      <c r="D1901" s="78">
        <v>35.330002</v>
      </c>
    </row>
    <row r="1902" spans="2:4">
      <c r="B1902" s="76">
        <v>43606</v>
      </c>
      <c r="C1902" s="77">
        <v>15.94</v>
      </c>
      <c r="D1902" s="78">
        <v>35.669998</v>
      </c>
    </row>
    <row r="1903" spans="2:4">
      <c r="B1903" s="76">
        <v>43607</v>
      </c>
      <c r="C1903" s="77">
        <v>15.58</v>
      </c>
      <c r="D1903" s="78">
        <v>35.520000000000003</v>
      </c>
    </row>
    <row r="1904" spans="2:4">
      <c r="B1904" s="76">
        <v>43608</v>
      </c>
      <c r="C1904" s="77">
        <v>14.98</v>
      </c>
      <c r="D1904" s="78">
        <v>35.07</v>
      </c>
    </row>
    <row r="1905" spans="2:4">
      <c r="B1905" s="76">
        <v>43609</v>
      </c>
      <c r="C1905" s="77">
        <v>15.06</v>
      </c>
      <c r="D1905" s="78">
        <v>35.159999999999997</v>
      </c>
    </row>
    <row r="1906" spans="2:4">
      <c r="B1906" s="76">
        <v>43613</v>
      </c>
      <c r="C1906" s="77">
        <v>14.73</v>
      </c>
      <c r="D1906" s="78">
        <v>34.849997999999999</v>
      </c>
    </row>
    <row r="1907" spans="2:4">
      <c r="B1907" s="76">
        <v>43614</v>
      </c>
      <c r="C1907" s="77">
        <v>14.57</v>
      </c>
      <c r="D1907" s="78">
        <v>34.619999</v>
      </c>
    </row>
    <row r="1908" spans="2:4">
      <c r="B1908" s="76">
        <v>43615</v>
      </c>
      <c r="C1908" s="77">
        <v>14.42</v>
      </c>
      <c r="D1908" s="78">
        <v>34.659999999999997</v>
      </c>
    </row>
    <row r="1909" spans="2:4">
      <c r="B1909" s="76">
        <v>43616</v>
      </c>
      <c r="C1909" s="77">
        <v>14.08</v>
      </c>
      <c r="D1909" s="78">
        <v>34.229999999999997</v>
      </c>
    </row>
    <row r="1910" spans="2:4">
      <c r="B1910" s="76">
        <v>43619</v>
      </c>
      <c r="C1910" s="77">
        <v>14.13</v>
      </c>
      <c r="D1910" s="78">
        <v>34.159999999999997</v>
      </c>
    </row>
    <row r="1911" spans="2:4">
      <c r="B1911" s="76">
        <v>43620</v>
      </c>
      <c r="C1911" s="77">
        <v>14.92</v>
      </c>
      <c r="D1911" s="78">
        <v>34.93</v>
      </c>
    </row>
    <row r="1912" spans="2:4">
      <c r="B1912" s="76">
        <v>43621</v>
      </c>
      <c r="C1912" s="77">
        <v>14.79</v>
      </c>
      <c r="D1912" s="78">
        <v>35.209999000000003</v>
      </c>
    </row>
    <row r="1913" spans="2:4">
      <c r="B1913" s="76">
        <v>43622</v>
      </c>
      <c r="C1913" s="77">
        <v>14.69</v>
      </c>
      <c r="D1913" s="78">
        <v>35.419998</v>
      </c>
    </row>
    <row r="1914" spans="2:4">
      <c r="B1914" s="76">
        <v>43623</v>
      </c>
      <c r="C1914" s="77">
        <v>14.6</v>
      </c>
      <c r="D1914" s="78">
        <v>35.759998000000003</v>
      </c>
    </row>
    <row r="1915" spans="2:4">
      <c r="B1915" s="76">
        <v>43626</v>
      </c>
      <c r="C1915" s="77">
        <v>14.88</v>
      </c>
      <c r="D1915" s="78">
        <v>35.93</v>
      </c>
    </row>
    <row r="1916" spans="2:4">
      <c r="B1916" s="76">
        <v>43627</v>
      </c>
      <c r="C1916" s="77">
        <v>14.75</v>
      </c>
      <c r="D1916" s="78">
        <v>35.919998</v>
      </c>
    </row>
    <row r="1917" spans="2:4">
      <c r="B1917" s="76">
        <v>43628</v>
      </c>
      <c r="C1917" s="77">
        <v>14.91</v>
      </c>
      <c r="D1917" s="78">
        <v>35.860000999999997</v>
      </c>
    </row>
    <row r="1918" spans="2:4">
      <c r="B1918" s="76">
        <v>43629</v>
      </c>
      <c r="C1918" s="77">
        <v>15.35</v>
      </c>
      <c r="D1918" s="78">
        <v>36.009998000000003</v>
      </c>
    </row>
    <row r="1919" spans="2:4">
      <c r="B1919" s="76">
        <v>43630</v>
      </c>
      <c r="C1919" s="77">
        <v>15.43</v>
      </c>
      <c r="D1919" s="78">
        <v>35.919998</v>
      </c>
    </row>
    <row r="1920" spans="2:4">
      <c r="B1920" s="76">
        <v>43633</v>
      </c>
      <c r="C1920" s="77">
        <v>15.23</v>
      </c>
      <c r="D1920" s="78">
        <v>36.009998000000003</v>
      </c>
    </row>
    <row r="1921" spans="2:4">
      <c r="B1921" s="76">
        <v>43634</v>
      </c>
      <c r="C1921" s="77">
        <v>15.31</v>
      </c>
      <c r="D1921" s="78">
        <v>36.369999</v>
      </c>
    </row>
    <row r="1922" spans="2:4">
      <c r="B1922" s="76">
        <v>43635</v>
      </c>
      <c r="C1922" s="77">
        <v>15.31</v>
      </c>
      <c r="D1922" s="78">
        <v>36.479999999999997</v>
      </c>
    </row>
    <row r="1923" spans="2:4">
      <c r="B1923" s="76">
        <v>43636</v>
      </c>
      <c r="C1923" s="77">
        <v>15.71</v>
      </c>
      <c r="D1923" s="78">
        <v>36.82</v>
      </c>
    </row>
    <row r="1924" spans="2:4">
      <c r="B1924" s="76">
        <v>43637</v>
      </c>
      <c r="C1924" s="77">
        <v>15.25</v>
      </c>
      <c r="D1924" s="78">
        <v>36.529998999999997</v>
      </c>
    </row>
    <row r="1925" spans="2:4">
      <c r="B1925" s="76">
        <v>43640</v>
      </c>
      <c r="C1925" s="77">
        <v>15.37</v>
      </c>
      <c r="D1925" s="78">
        <v>36.419998</v>
      </c>
    </row>
    <row r="1926" spans="2:4">
      <c r="B1926" s="76">
        <v>43641</v>
      </c>
      <c r="C1926" s="77">
        <v>15.42</v>
      </c>
      <c r="D1926" s="78">
        <v>36.049999</v>
      </c>
    </row>
    <row r="1927" spans="2:4">
      <c r="B1927" s="76">
        <v>43642</v>
      </c>
      <c r="C1927" s="77">
        <v>15.37</v>
      </c>
      <c r="D1927" s="78">
        <v>36.029998999999997</v>
      </c>
    </row>
    <row r="1928" spans="2:4">
      <c r="B1928" s="76">
        <v>43643</v>
      </c>
      <c r="C1928" s="77">
        <v>16.25</v>
      </c>
      <c r="D1928" s="78">
        <v>36.25</v>
      </c>
    </row>
    <row r="1929" spans="2:4">
      <c r="B1929" s="76">
        <v>43644</v>
      </c>
      <c r="C1929" s="77">
        <v>16.860001</v>
      </c>
      <c r="D1929" s="78">
        <v>36.459999000000003</v>
      </c>
    </row>
    <row r="1930" spans="2:4">
      <c r="B1930" s="76">
        <v>43647</v>
      </c>
      <c r="C1930" s="77">
        <v>16.959999</v>
      </c>
      <c r="D1930" s="78">
        <v>36.770000000000003</v>
      </c>
    </row>
    <row r="1931" spans="2:4">
      <c r="B1931" s="76">
        <v>43648</v>
      </c>
      <c r="C1931" s="77">
        <v>16.98</v>
      </c>
      <c r="D1931" s="78">
        <v>36.840000000000003</v>
      </c>
    </row>
    <row r="1932" spans="2:4">
      <c r="B1932" s="76">
        <v>43649</v>
      </c>
      <c r="C1932" s="77">
        <v>16.959999</v>
      </c>
      <c r="D1932" s="78">
        <v>37.130001</v>
      </c>
    </row>
    <row r="1933" spans="2:4">
      <c r="B1933" s="76">
        <v>43651</v>
      </c>
      <c r="C1933" s="77">
        <v>16.969999000000001</v>
      </c>
      <c r="D1933" s="78">
        <v>37.099997999999999</v>
      </c>
    </row>
    <row r="1934" spans="2:4">
      <c r="B1934" s="76">
        <v>43654</v>
      </c>
      <c r="C1934" s="77">
        <v>17.010000000000002</v>
      </c>
      <c r="D1934" s="78">
        <v>36.889999000000003</v>
      </c>
    </row>
    <row r="1935" spans="2:4">
      <c r="B1935" s="76">
        <v>43655</v>
      </c>
      <c r="C1935" s="77">
        <v>16.75</v>
      </c>
      <c r="D1935" s="78">
        <v>36.959999000000003</v>
      </c>
    </row>
    <row r="1936" spans="2:4">
      <c r="B1936" s="76">
        <v>43656</v>
      </c>
      <c r="C1936" s="77">
        <v>16.84</v>
      </c>
      <c r="D1936" s="78">
        <v>37.099997999999999</v>
      </c>
    </row>
    <row r="1937" spans="2:4">
      <c r="B1937" s="76">
        <v>43657</v>
      </c>
      <c r="C1937" s="77">
        <v>16.899999999999999</v>
      </c>
      <c r="D1937" s="78">
        <v>37.169998</v>
      </c>
    </row>
    <row r="1938" spans="2:4">
      <c r="B1938" s="76">
        <v>43658</v>
      </c>
      <c r="C1938" s="77">
        <v>17.010000000000002</v>
      </c>
      <c r="D1938" s="78">
        <v>37.349997999999999</v>
      </c>
    </row>
    <row r="1939" spans="2:4">
      <c r="B1939" s="76">
        <v>43661</v>
      </c>
      <c r="C1939" s="77">
        <v>16.84</v>
      </c>
      <c r="D1939" s="78">
        <v>37.340000000000003</v>
      </c>
    </row>
    <row r="1940" spans="2:4">
      <c r="B1940" s="76">
        <v>43662</v>
      </c>
      <c r="C1940" s="77">
        <v>16.889999</v>
      </c>
      <c r="D1940" s="78">
        <v>37.189999</v>
      </c>
    </row>
    <row r="1941" spans="2:4">
      <c r="B1941" s="76">
        <v>43663</v>
      </c>
      <c r="C1941" s="77">
        <v>16.510000000000002</v>
      </c>
      <c r="D1941" s="78">
        <v>37</v>
      </c>
    </row>
    <row r="1942" spans="2:4">
      <c r="B1942" s="76">
        <v>43664</v>
      </c>
      <c r="C1942" s="77">
        <v>16.530000999999999</v>
      </c>
      <c r="D1942" s="78">
        <v>37.139999000000003</v>
      </c>
    </row>
    <row r="1943" spans="2:4">
      <c r="B1943" s="76">
        <v>43665</v>
      </c>
      <c r="C1943" s="77">
        <v>16.350000000000001</v>
      </c>
      <c r="D1943" s="78">
        <v>36.939999</v>
      </c>
    </row>
    <row r="1944" spans="2:4">
      <c r="B1944" s="76">
        <v>43668</v>
      </c>
      <c r="C1944" s="77">
        <v>16.200001</v>
      </c>
      <c r="D1944" s="78">
        <v>37.029998999999997</v>
      </c>
    </row>
    <row r="1945" spans="2:4">
      <c r="B1945" s="76">
        <v>43669</v>
      </c>
      <c r="C1945" s="77">
        <v>16.59</v>
      </c>
      <c r="D1945" s="78">
        <v>37.259998000000003</v>
      </c>
    </row>
    <row r="1946" spans="2:4">
      <c r="B1946" s="76">
        <v>43670</v>
      </c>
      <c r="C1946" s="77">
        <v>17.23</v>
      </c>
      <c r="D1946" s="78">
        <v>37.490001999999997</v>
      </c>
    </row>
    <row r="1947" spans="2:4">
      <c r="B1947" s="76">
        <v>43671</v>
      </c>
      <c r="C1947" s="77">
        <v>17.370000999999998</v>
      </c>
      <c r="D1947" s="78">
        <v>37.310001</v>
      </c>
    </row>
    <row r="1948" spans="2:4">
      <c r="B1948" s="76">
        <v>43672</v>
      </c>
      <c r="C1948" s="77">
        <v>17.34</v>
      </c>
      <c r="D1948" s="78">
        <v>37.529998999999997</v>
      </c>
    </row>
    <row r="1949" spans="2:4">
      <c r="B1949" s="76">
        <v>43675</v>
      </c>
      <c r="C1949" s="77">
        <v>16.870000999999998</v>
      </c>
      <c r="D1949" s="78">
        <v>37.450001</v>
      </c>
    </row>
    <row r="1950" spans="2:4">
      <c r="B1950" s="76">
        <v>43676</v>
      </c>
      <c r="C1950" s="77">
        <v>17.350000000000001</v>
      </c>
      <c r="D1950" s="78">
        <v>37.400002000000001</v>
      </c>
    </row>
    <row r="1951" spans="2:4">
      <c r="B1951" s="76">
        <v>43677</v>
      </c>
      <c r="C1951" s="77">
        <v>17.18</v>
      </c>
      <c r="D1951" s="78">
        <v>37</v>
      </c>
    </row>
    <row r="1952" spans="2:4">
      <c r="B1952" s="76">
        <v>43678</v>
      </c>
      <c r="C1952" s="77">
        <v>16.799999</v>
      </c>
      <c r="D1952" s="78">
        <v>36.689999</v>
      </c>
    </row>
    <row r="1953" spans="2:4">
      <c r="B1953" s="76">
        <v>43679</v>
      </c>
      <c r="C1953" s="77">
        <v>18.870000999999998</v>
      </c>
      <c r="D1953" s="78">
        <v>36.380001</v>
      </c>
    </row>
    <row r="1954" spans="2:4">
      <c r="B1954" s="76">
        <v>43682</v>
      </c>
      <c r="C1954" s="77">
        <v>18.899999999999999</v>
      </c>
      <c r="D1954" s="78">
        <v>35.270000000000003</v>
      </c>
    </row>
    <row r="1955" spans="2:4">
      <c r="B1955" s="76">
        <v>43683</v>
      </c>
      <c r="C1955" s="77">
        <v>18.98</v>
      </c>
      <c r="D1955" s="78">
        <v>35.729999999999997</v>
      </c>
    </row>
    <row r="1956" spans="2:4">
      <c r="B1956" s="76">
        <v>43684</v>
      </c>
      <c r="C1956" s="77">
        <v>19.629999000000002</v>
      </c>
      <c r="D1956" s="78">
        <v>35.779998999999997</v>
      </c>
    </row>
    <row r="1957" spans="2:4">
      <c r="B1957" s="76">
        <v>43685</v>
      </c>
      <c r="C1957" s="77">
        <v>20.120000999999998</v>
      </c>
      <c r="D1957" s="78">
        <v>36.490001999999997</v>
      </c>
    </row>
    <row r="1958" spans="2:4">
      <c r="B1958" s="76">
        <v>43686</v>
      </c>
      <c r="C1958" s="77">
        <v>20.149999999999999</v>
      </c>
      <c r="D1958" s="78">
        <v>36.189999</v>
      </c>
    </row>
    <row r="1959" spans="2:4">
      <c r="B1959" s="76">
        <v>43689</v>
      </c>
      <c r="C1959" s="77">
        <v>19.66</v>
      </c>
      <c r="D1959" s="78">
        <v>35.740001999999997</v>
      </c>
    </row>
    <row r="1960" spans="2:4">
      <c r="B1960" s="76">
        <v>43690</v>
      </c>
      <c r="C1960" s="77">
        <v>19.209999</v>
      </c>
      <c r="D1960" s="78">
        <v>36.290000999999997</v>
      </c>
    </row>
    <row r="1961" spans="2:4">
      <c r="B1961" s="76">
        <v>43691</v>
      </c>
      <c r="C1961" s="77">
        <v>18.700001</v>
      </c>
      <c r="D1961" s="78">
        <v>35.229999999999997</v>
      </c>
    </row>
    <row r="1962" spans="2:4">
      <c r="B1962" s="76">
        <v>43692</v>
      </c>
      <c r="C1962" s="77">
        <v>18.719999000000001</v>
      </c>
      <c r="D1962" s="78">
        <v>35.290000999999997</v>
      </c>
    </row>
    <row r="1963" spans="2:4">
      <c r="B1963" s="76">
        <v>43693</v>
      </c>
      <c r="C1963" s="77">
        <v>18.93</v>
      </c>
      <c r="D1963" s="78">
        <v>35.810001</v>
      </c>
    </row>
    <row r="1964" spans="2:4">
      <c r="B1964" s="76">
        <v>43696</v>
      </c>
      <c r="C1964" s="77">
        <v>19.139999</v>
      </c>
      <c r="D1964" s="78">
        <v>36.25</v>
      </c>
    </row>
    <row r="1965" spans="2:4">
      <c r="B1965" s="76">
        <v>43697</v>
      </c>
      <c r="C1965" s="77">
        <v>19.120000999999998</v>
      </c>
      <c r="D1965" s="78">
        <v>35.979999999999997</v>
      </c>
    </row>
    <row r="1966" spans="2:4">
      <c r="B1966" s="76">
        <v>43698</v>
      </c>
      <c r="C1966" s="77">
        <v>19.610001</v>
      </c>
      <c r="D1966" s="78">
        <v>36.259998000000003</v>
      </c>
    </row>
    <row r="1967" spans="2:4">
      <c r="B1967" s="76">
        <v>43699</v>
      </c>
      <c r="C1967" s="77">
        <v>19.610001</v>
      </c>
      <c r="D1967" s="78">
        <v>36.270000000000003</v>
      </c>
    </row>
    <row r="1968" spans="2:4">
      <c r="B1968" s="76">
        <v>43700</v>
      </c>
      <c r="C1968" s="77">
        <v>18.82</v>
      </c>
      <c r="D1968" s="78">
        <v>35.310001</v>
      </c>
    </row>
    <row r="1969" spans="2:4">
      <c r="B1969" s="76">
        <v>43703</v>
      </c>
      <c r="C1969" s="77">
        <v>19.209999</v>
      </c>
      <c r="D1969" s="78">
        <v>35.669998</v>
      </c>
    </row>
    <row r="1970" spans="2:4">
      <c r="B1970" s="76">
        <v>43704</v>
      </c>
      <c r="C1970" s="77">
        <v>18.870000999999998</v>
      </c>
      <c r="D1970" s="78">
        <v>35.529998999999997</v>
      </c>
    </row>
    <row r="1971" spans="2:4">
      <c r="B1971" s="76">
        <v>43705</v>
      </c>
      <c r="C1971" s="77">
        <v>19.149999999999999</v>
      </c>
      <c r="D1971" s="78">
        <v>35.770000000000003</v>
      </c>
    </row>
    <row r="1972" spans="2:4">
      <c r="B1972" s="76">
        <v>43706</v>
      </c>
      <c r="C1972" s="77">
        <v>19.450001</v>
      </c>
      <c r="D1972" s="78">
        <v>36.240001999999997</v>
      </c>
    </row>
    <row r="1973" spans="2:4">
      <c r="B1973" s="76">
        <v>43707</v>
      </c>
      <c r="C1973" s="77">
        <v>19.450001</v>
      </c>
      <c r="D1973" s="78">
        <v>36.240001999999997</v>
      </c>
    </row>
    <row r="1974" spans="2:4">
      <c r="B1974" s="76">
        <v>43711</v>
      </c>
      <c r="C1974" s="77">
        <v>18.93</v>
      </c>
      <c r="D1974" s="78">
        <v>36</v>
      </c>
    </row>
    <row r="1975" spans="2:4">
      <c r="B1975" s="76">
        <v>43712</v>
      </c>
      <c r="C1975" s="77">
        <v>19.059999000000001</v>
      </c>
      <c r="D1975" s="78">
        <v>36.380001</v>
      </c>
    </row>
    <row r="1976" spans="2:4">
      <c r="B1976" s="76">
        <v>43713</v>
      </c>
      <c r="C1976" s="77">
        <v>19.209999</v>
      </c>
      <c r="D1976" s="78">
        <v>36.869999</v>
      </c>
    </row>
    <row r="1977" spans="2:4">
      <c r="B1977" s="76">
        <v>43714</v>
      </c>
      <c r="C1977" s="77">
        <v>19.07</v>
      </c>
      <c r="D1977" s="78">
        <v>36.880001</v>
      </c>
    </row>
    <row r="1978" spans="2:4">
      <c r="B1978" s="76">
        <v>43717</v>
      </c>
      <c r="C1978" s="77">
        <v>19.43</v>
      </c>
      <c r="D1978" s="78">
        <v>36.909999999999997</v>
      </c>
    </row>
    <row r="1979" spans="2:4">
      <c r="B1979" s="76">
        <v>43718</v>
      </c>
      <c r="C1979" s="77">
        <v>19.760000000000002</v>
      </c>
      <c r="D1979" s="78">
        <v>36.909999999999997</v>
      </c>
    </row>
    <row r="1980" spans="2:4">
      <c r="B1980" s="76">
        <v>43719</v>
      </c>
      <c r="C1980" s="77">
        <v>19.950001</v>
      </c>
      <c r="D1980" s="78">
        <v>37.229999999999997</v>
      </c>
    </row>
    <row r="1981" spans="2:4">
      <c r="B1981" s="76">
        <v>43720</v>
      </c>
      <c r="C1981" s="77">
        <v>19.989999999999998</v>
      </c>
      <c r="D1981" s="78">
        <v>37.330002</v>
      </c>
    </row>
    <row r="1982" spans="2:4">
      <c r="B1982" s="76">
        <v>43721</v>
      </c>
      <c r="C1982" s="77">
        <v>20.190000999999999</v>
      </c>
      <c r="D1982" s="78">
        <v>37.270000000000003</v>
      </c>
    </row>
    <row r="1983" spans="2:4">
      <c r="B1983" s="76">
        <v>43724</v>
      </c>
      <c r="C1983" s="77">
        <v>20.23</v>
      </c>
      <c r="D1983" s="78">
        <v>37.240001999999997</v>
      </c>
    </row>
    <row r="1984" spans="2:4">
      <c r="B1984" s="76">
        <v>43725</v>
      </c>
      <c r="C1984" s="77">
        <v>20.34</v>
      </c>
      <c r="D1984" s="78">
        <v>37.32</v>
      </c>
    </row>
    <row r="1985" spans="2:4">
      <c r="B1985" s="76">
        <v>43726</v>
      </c>
      <c r="C1985" s="77">
        <v>20.49</v>
      </c>
      <c r="D1985" s="78">
        <v>37.299999</v>
      </c>
    </row>
    <row r="1986" spans="2:4">
      <c r="B1986" s="76">
        <v>43727</v>
      </c>
      <c r="C1986" s="77">
        <v>20.559999000000001</v>
      </c>
      <c r="D1986" s="78">
        <v>37.290000999999997</v>
      </c>
    </row>
    <row r="1987" spans="2:4">
      <c r="B1987" s="76">
        <v>43728</v>
      </c>
      <c r="C1987" s="77">
        <v>20.260000000000002</v>
      </c>
      <c r="D1987" s="78">
        <v>36.970001000000003</v>
      </c>
    </row>
    <row r="1988" spans="2:4">
      <c r="B1988" s="76">
        <v>43731</v>
      </c>
      <c r="C1988" s="77">
        <v>20.41</v>
      </c>
      <c r="D1988" s="78">
        <v>36.959999000000003</v>
      </c>
    </row>
    <row r="1989" spans="2:4">
      <c r="B1989" s="76">
        <v>43732</v>
      </c>
      <c r="C1989" s="77">
        <v>20.239999999999998</v>
      </c>
      <c r="D1989" s="78">
        <v>36.619999</v>
      </c>
    </row>
    <row r="1990" spans="2:4">
      <c r="B1990" s="76">
        <v>43733</v>
      </c>
      <c r="C1990" s="77">
        <v>20.68</v>
      </c>
      <c r="D1990" s="78">
        <v>36.869999</v>
      </c>
    </row>
    <row r="1991" spans="2:4">
      <c r="B1991" s="76">
        <v>43734</v>
      </c>
      <c r="C1991" s="77">
        <v>20.549999</v>
      </c>
      <c r="D1991" s="78">
        <v>36.759998000000003</v>
      </c>
    </row>
    <row r="1992" spans="2:4">
      <c r="B1992" s="76">
        <v>43735</v>
      </c>
      <c r="C1992" s="77">
        <v>20.389999</v>
      </c>
      <c r="D1992" s="78">
        <v>36.529998999999997</v>
      </c>
    </row>
    <row r="1993" spans="2:4">
      <c r="B1993" s="76">
        <v>43738</v>
      </c>
      <c r="C1993" s="77">
        <v>20.58</v>
      </c>
      <c r="D1993" s="78">
        <v>36.740001999999997</v>
      </c>
    </row>
    <row r="1994" spans="2:4">
      <c r="B1994" s="76">
        <v>43739</v>
      </c>
      <c r="C1994" s="77">
        <v>20.43</v>
      </c>
      <c r="D1994" s="78">
        <v>36.259998000000003</v>
      </c>
    </row>
    <row r="1995" spans="2:4">
      <c r="B1995" s="76">
        <v>43740</v>
      </c>
      <c r="C1995" s="77">
        <v>20.27</v>
      </c>
      <c r="D1995" s="78">
        <v>35.630001</v>
      </c>
    </row>
    <row r="1996" spans="2:4">
      <c r="B1996" s="76">
        <v>43741</v>
      </c>
      <c r="C1996" s="77">
        <v>20.110001</v>
      </c>
      <c r="D1996" s="78">
        <v>35.950001</v>
      </c>
    </row>
    <row r="1997" spans="2:4">
      <c r="B1997" s="76">
        <v>43742</v>
      </c>
      <c r="C1997" s="77">
        <v>20.5</v>
      </c>
      <c r="D1997" s="78">
        <v>36.43</v>
      </c>
    </row>
    <row r="1998" spans="2:4">
      <c r="B1998" s="76">
        <v>43745</v>
      </c>
      <c r="C1998" s="77">
        <v>20.299999</v>
      </c>
      <c r="D1998" s="78">
        <v>36.259998000000003</v>
      </c>
    </row>
    <row r="1999" spans="2:4">
      <c r="B1999" s="76">
        <v>43746</v>
      </c>
      <c r="C1999" s="77">
        <v>20.399999999999999</v>
      </c>
      <c r="D1999" s="78">
        <v>35.709999000000003</v>
      </c>
    </row>
    <row r="2000" spans="2:4">
      <c r="B2000" s="76">
        <v>43747</v>
      </c>
      <c r="C2000" s="77">
        <v>20.799999</v>
      </c>
      <c r="D2000" s="78">
        <v>36.009998000000003</v>
      </c>
    </row>
    <row r="2001" spans="2:4">
      <c r="B2001" s="76">
        <v>43748</v>
      </c>
      <c r="C2001" s="77">
        <v>20.73</v>
      </c>
      <c r="D2001" s="78">
        <v>36.279998999999997</v>
      </c>
    </row>
    <row r="2002" spans="2:4">
      <c r="B2002" s="76">
        <v>43749</v>
      </c>
      <c r="C2002" s="77">
        <v>20.67</v>
      </c>
      <c r="D2002" s="78">
        <v>36.68</v>
      </c>
    </row>
    <row r="2003" spans="2:4">
      <c r="B2003" s="76">
        <v>43752</v>
      </c>
      <c r="C2003" s="77">
        <v>20.58</v>
      </c>
      <c r="D2003" s="78">
        <v>36.639999000000003</v>
      </c>
    </row>
    <row r="2004" spans="2:4">
      <c r="B2004" s="76">
        <v>43753</v>
      </c>
      <c r="C2004" s="77">
        <v>21.540001</v>
      </c>
      <c r="D2004" s="78">
        <v>36.959999000000003</v>
      </c>
    </row>
    <row r="2005" spans="2:4">
      <c r="B2005" s="76">
        <v>43754</v>
      </c>
      <c r="C2005" s="77">
        <v>22.440000999999999</v>
      </c>
      <c r="D2005" s="78">
        <v>36.880001</v>
      </c>
    </row>
    <row r="2006" spans="2:4">
      <c r="B2006" s="76">
        <v>43755</v>
      </c>
      <c r="C2006" s="77">
        <v>22.73</v>
      </c>
      <c r="D2006" s="78">
        <v>37.029998999999997</v>
      </c>
    </row>
    <row r="2007" spans="2:4">
      <c r="B2007" s="76">
        <v>43756</v>
      </c>
      <c r="C2007" s="77">
        <v>22.889999</v>
      </c>
      <c r="D2007" s="78">
        <v>36.880001</v>
      </c>
    </row>
    <row r="2008" spans="2:4">
      <c r="B2008" s="76">
        <v>43759</v>
      </c>
      <c r="C2008" s="77">
        <v>23.33</v>
      </c>
      <c r="D2008" s="78">
        <v>37.139999000000003</v>
      </c>
    </row>
    <row r="2009" spans="2:4">
      <c r="B2009" s="76">
        <v>43760</v>
      </c>
      <c r="C2009" s="77">
        <v>23.049999</v>
      </c>
      <c r="D2009" s="78">
        <v>37.029998999999997</v>
      </c>
    </row>
    <row r="2010" spans="2:4">
      <c r="B2010" s="76">
        <v>43761</v>
      </c>
      <c r="C2010" s="77">
        <v>22.780000999999999</v>
      </c>
      <c r="D2010" s="78">
        <v>37.090000000000003</v>
      </c>
    </row>
    <row r="2011" spans="2:4">
      <c r="B2011" s="76">
        <v>43762</v>
      </c>
      <c r="C2011" s="77">
        <v>22.700001</v>
      </c>
      <c r="D2011" s="78">
        <v>37.209999000000003</v>
      </c>
    </row>
    <row r="2012" spans="2:4">
      <c r="B2012" s="76">
        <v>43763</v>
      </c>
      <c r="C2012" s="77">
        <v>22.92</v>
      </c>
      <c r="D2012" s="78">
        <v>37.369999</v>
      </c>
    </row>
    <row r="2013" spans="2:4">
      <c r="B2013" s="76">
        <v>43766</v>
      </c>
      <c r="C2013" s="77">
        <v>22.84</v>
      </c>
      <c r="D2013" s="78">
        <v>37.57</v>
      </c>
    </row>
    <row r="2014" spans="2:4">
      <c r="B2014" s="76">
        <v>43767</v>
      </c>
      <c r="C2014" s="77">
        <v>22.870000999999998</v>
      </c>
      <c r="D2014" s="78">
        <v>37.57</v>
      </c>
    </row>
    <row r="2015" spans="2:4">
      <c r="B2015" s="76">
        <v>43768</v>
      </c>
      <c r="C2015" s="77">
        <v>22.360001</v>
      </c>
      <c r="D2015" s="78">
        <v>37.669998</v>
      </c>
    </row>
    <row r="2016" spans="2:4">
      <c r="B2016" s="76">
        <v>43769</v>
      </c>
      <c r="C2016" s="77">
        <v>22.610001</v>
      </c>
      <c r="D2016" s="78">
        <v>37.540000999999997</v>
      </c>
    </row>
    <row r="2017" spans="2:4">
      <c r="B2017" s="76">
        <v>43770</v>
      </c>
      <c r="C2017" s="77">
        <v>24.299999</v>
      </c>
      <c r="D2017" s="78">
        <v>37.93</v>
      </c>
    </row>
    <row r="2018" spans="2:4">
      <c r="B2018" s="76">
        <v>43773</v>
      </c>
      <c r="C2018" s="77">
        <v>24.440000999999999</v>
      </c>
      <c r="D2018" s="78">
        <v>38.07</v>
      </c>
    </row>
    <row r="2019" spans="2:4">
      <c r="B2019" s="76">
        <v>43774</v>
      </c>
      <c r="C2019" s="77">
        <v>23.799999</v>
      </c>
      <c r="D2019" s="78">
        <v>38</v>
      </c>
    </row>
    <row r="2020" spans="2:4">
      <c r="B2020" s="76">
        <v>43775</v>
      </c>
      <c r="C2020" s="77">
        <v>24.129999000000002</v>
      </c>
      <c r="D2020" s="78">
        <v>37.979999999999997</v>
      </c>
    </row>
    <row r="2021" spans="2:4">
      <c r="B2021" s="76">
        <v>43776</v>
      </c>
      <c r="C2021" s="77">
        <v>23.559999000000001</v>
      </c>
      <c r="D2021" s="78">
        <v>38.110000999999997</v>
      </c>
    </row>
    <row r="2022" spans="2:4">
      <c r="B2022" s="76">
        <v>43777</v>
      </c>
      <c r="C2022" s="77">
        <v>24.190000999999999</v>
      </c>
      <c r="D2022" s="78">
        <v>38.220001000000003</v>
      </c>
    </row>
    <row r="2023" spans="2:4">
      <c r="B2023" s="76">
        <v>43780</v>
      </c>
      <c r="C2023" s="77">
        <v>24.360001</v>
      </c>
      <c r="D2023" s="78">
        <v>38.18</v>
      </c>
    </row>
    <row r="2024" spans="2:4">
      <c r="B2024" s="76">
        <v>43781</v>
      </c>
      <c r="C2024" s="77">
        <v>24.75</v>
      </c>
      <c r="D2024" s="78">
        <v>38.220001000000003</v>
      </c>
    </row>
    <row r="2025" spans="2:4">
      <c r="B2025" s="76">
        <v>43782</v>
      </c>
      <c r="C2025" s="77">
        <v>24.76</v>
      </c>
      <c r="D2025" s="78">
        <v>38.259998000000003</v>
      </c>
    </row>
    <row r="2026" spans="2:4">
      <c r="B2026" s="76">
        <v>43783</v>
      </c>
      <c r="C2026" s="77">
        <v>25.24</v>
      </c>
      <c r="D2026" s="78">
        <v>38.270000000000003</v>
      </c>
    </row>
    <row r="2027" spans="2:4">
      <c r="B2027" s="76">
        <v>43784</v>
      </c>
      <c r="C2027" s="77">
        <v>25.049999</v>
      </c>
      <c r="D2027" s="78">
        <v>38.590000000000003</v>
      </c>
    </row>
    <row r="2028" spans="2:4">
      <c r="B2028" s="76">
        <v>43787</v>
      </c>
      <c r="C2028" s="77">
        <v>25.34</v>
      </c>
      <c r="D2028" s="78">
        <v>38.580002</v>
      </c>
    </row>
    <row r="2029" spans="2:4">
      <c r="B2029" s="76">
        <v>43788</v>
      </c>
      <c r="C2029" s="77">
        <v>25.379999000000002</v>
      </c>
      <c r="D2029" s="78">
        <v>38.619999</v>
      </c>
    </row>
    <row r="2030" spans="2:4">
      <c r="B2030" s="76">
        <v>43789</v>
      </c>
      <c r="C2030" s="77">
        <v>25.360001</v>
      </c>
      <c r="D2030" s="78">
        <v>38.479999999999997</v>
      </c>
    </row>
    <row r="2031" spans="2:4">
      <c r="B2031" s="76">
        <v>43790</v>
      </c>
      <c r="C2031" s="77">
        <v>24.860001</v>
      </c>
      <c r="D2031" s="78">
        <v>38.400002000000001</v>
      </c>
    </row>
    <row r="2032" spans="2:4">
      <c r="B2032" s="76">
        <v>43791</v>
      </c>
      <c r="C2032" s="77">
        <v>25.02</v>
      </c>
      <c r="D2032" s="78">
        <v>38.520000000000003</v>
      </c>
    </row>
    <row r="2033" spans="2:4">
      <c r="B2033" s="76">
        <v>43794</v>
      </c>
      <c r="C2033" s="77">
        <v>25.52</v>
      </c>
      <c r="D2033" s="78">
        <v>38.869999</v>
      </c>
    </row>
    <row r="2034" spans="2:4">
      <c r="B2034" s="76">
        <v>43795</v>
      </c>
      <c r="C2034" s="77">
        <v>25.719999000000001</v>
      </c>
      <c r="D2034" s="78">
        <v>38.93</v>
      </c>
    </row>
    <row r="2035" spans="2:4">
      <c r="B2035" s="76">
        <v>43796</v>
      </c>
      <c r="C2035" s="77">
        <v>25.9</v>
      </c>
      <c r="D2035" s="78">
        <v>39.110000999999997</v>
      </c>
    </row>
    <row r="2036" spans="2:4">
      <c r="B2036" s="76">
        <v>43798</v>
      </c>
      <c r="C2036" s="77">
        <v>25.41</v>
      </c>
      <c r="D2036" s="78">
        <v>38.950001</v>
      </c>
    </row>
    <row r="2037" spans="2:4">
      <c r="B2037" s="76">
        <v>43801</v>
      </c>
      <c r="C2037" s="77">
        <v>25.139999</v>
      </c>
      <c r="D2037" s="78">
        <v>38.630001</v>
      </c>
    </row>
    <row r="2038" spans="2:4">
      <c r="B2038" s="76">
        <v>43802</v>
      </c>
      <c r="C2038" s="77">
        <v>25.18</v>
      </c>
      <c r="D2038" s="78">
        <v>38.380001</v>
      </c>
    </row>
    <row r="2039" spans="2:4">
      <c r="B2039" s="76">
        <v>43803</v>
      </c>
      <c r="C2039" s="77">
        <v>25.219999000000001</v>
      </c>
      <c r="D2039" s="78">
        <v>38.580002</v>
      </c>
    </row>
    <row r="2040" spans="2:4">
      <c r="B2040" s="76">
        <v>43804</v>
      </c>
      <c r="C2040" s="77">
        <v>25.690000999999999</v>
      </c>
      <c r="D2040" s="78">
        <v>38.659999999999997</v>
      </c>
    </row>
    <row r="2041" spans="2:4">
      <c r="B2041" s="76">
        <v>43805</v>
      </c>
      <c r="C2041" s="77">
        <v>25.299999</v>
      </c>
      <c r="D2041" s="78">
        <v>39</v>
      </c>
    </row>
    <row r="2042" spans="2:4">
      <c r="B2042" s="76">
        <v>43808</v>
      </c>
      <c r="C2042" s="77">
        <v>25.690000999999999</v>
      </c>
      <c r="D2042" s="78">
        <v>38.860000999999997</v>
      </c>
    </row>
    <row r="2043" spans="2:4">
      <c r="B2043" s="76">
        <v>43809</v>
      </c>
      <c r="C2043" s="77">
        <v>25.67</v>
      </c>
      <c r="D2043" s="78">
        <v>38.860000999999997</v>
      </c>
    </row>
    <row r="2044" spans="2:4">
      <c r="B2044" s="76">
        <v>43810</v>
      </c>
      <c r="C2044" s="77">
        <v>25.92</v>
      </c>
      <c r="D2044" s="78">
        <v>38.950001</v>
      </c>
    </row>
    <row r="2045" spans="2:4">
      <c r="B2045" s="76">
        <v>43811</v>
      </c>
      <c r="C2045" s="77">
        <v>25.299999</v>
      </c>
      <c r="D2045" s="78">
        <v>39.25</v>
      </c>
    </row>
    <row r="2046" spans="2:4">
      <c r="B2046" s="76">
        <v>43812</v>
      </c>
      <c r="C2046" s="77">
        <v>25.360001</v>
      </c>
      <c r="D2046" s="78">
        <v>39.25</v>
      </c>
    </row>
    <row r="2047" spans="2:4">
      <c r="B2047" s="76">
        <v>43815</v>
      </c>
      <c r="C2047" s="77">
        <v>25.33</v>
      </c>
      <c r="D2047" s="78">
        <v>39.549999</v>
      </c>
    </row>
    <row r="2048" spans="2:4">
      <c r="B2048" s="76">
        <v>43816</v>
      </c>
      <c r="C2048" s="77">
        <v>25.540001</v>
      </c>
      <c r="D2048" s="78">
        <v>39.549999</v>
      </c>
    </row>
    <row r="2049" spans="2:4">
      <c r="B2049" s="76">
        <v>43817</v>
      </c>
      <c r="C2049" s="77">
        <v>25.24</v>
      </c>
      <c r="D2049" s="78">
        <v>39.599997999999999</v>
      </c>
    </row>
    <row r="2050" spans="2:4">
      <c r="B2050" s="76">
        <v>43818</v>
      </c>
      <c r="C2050" s="77">
        <v>24.84</v>
      </c>
      <c r="D2050" s="78">
        <v>39.75</v>
      </c>
    </row>
    <row r="2051" spans="2:4">
      <c r="B2051" s="76">
        <v>43819</v>
      </c>
      <c r="C2051" s="77">
        <v>24.91</v>
      </c>
      <c r="D2051" s="78">
        <v>39.779998999999997</v>
      </c>
    </row>
    <row r="2052" spans="2:4">
      <c r="B2052" s="76">
        <v>43822</v>
      </c>
      <c r="C2052" s="77">
        <v>24.940000999999999</v>
      </c>
      <c r="D2052" s="78">
        <v>39.779998999999997</v>
      </c>
    </row>
    <row r="2053" spans="2:4">
      <c r="B2053" s="76">
        <v>43823</v>
      </c>
      <c r="C2053" s="77">
        <v>25.43</v>
      </c>
      <c r="D2053" s="78">
        <v>39.830002</v>
      </c>
    </row>
    <row r="2054" spans="2:4">
      <c r="B2054" s="76">
        <v>43825</v>
      </c>
      <c r="C2054" s="77">
        <v>25.389999</v>
      </c>
      <c r="D2054" s="78">
        <v>39.970001000000003</v>
      </c>
    </row>
    <row r="2055" spans="2:4">
      <c r="B2055" s="76">
        <v>43826</v>
      </c>
      <c r="C2055" s="77">
        <v>25.450001</v>
      </c>
      <c r="D2055" s="78">
        <v>39.950001</v>
      </c>
    </row>
    <row r="2056" spans="2:4">
      <c r="B2056" s="76">
        <v>43829</v>
      </c>
      <c r="C2056" s="77">
        <v>25.43</v>
      </c>
      <c r="D2056" s="78">
        <v>39.770000000000003</v>
      </c>
    </row>
    <row r="2057" spans="2:4">
      <c r="B2057" s="76">
        <v>43830</v>
      </c>
      <c r="C2057" s="77">
        <v>25.41</v>
      </c>
      <c r="D2057" s="78">
        <v>39.860000999999997</v>
      </c>
    </row>
    <row r="2058" spans="2:4">
      <c r="B2058" s="76">
        <v>43832</v>
      </c>
      <c r="C2058" s="77">
        <v>25.41</v>
      </c>
      <c r="D2058" s="78">
        <v>40.18</v>
      </c>
    </row>
    <row r="2059" spans="2:4">
      <c r="B2059" s="76">
        <v>43833</v>
      </c>
      <c r="C2059" s="77">
        <v>25.219999000000001</v>
      </c>
      <c r="D2059" s="78">
        <v>39.939999</v>
      </c>
    </row>
    <row r="2060" spans="2:4">
      <c r="B2060" s="76">
        <v>43836</v>
      </c>
      <c r="C2060" s="77">
        <v>25.74</v>
      </c>
      <c r="D2060" s="78">
        <v>40.080002</v>
      </c>
    </row>
    <row r="2061" spans="2:4">
      <c r="B2061" s="76">
        <v>43837</v>
      </c>
      <c r="C2061" s="77">
        <v>25.93</v>
      </c>
      <c r="D2061" s="78">
        <v>39.970001000000003</v>
      </c>
    </row>
    <row r="2062" spans="2:4">
      <c r="B2062" s="76">
        <v>43838</v>
      </c>
      <c r="C2062" s="77">
        <v>26.190000999999999</v>
      </c>
      <c r="D2062" s="78">
        <v>40.139999000000003</v>
      </c>
    </row>
    <row r="2063" spans="2:4">
      <c r="B2063" s="76">
        <v>43839</v>
      </c>
      <c r="C2063" s="77">
        <v>26.290001</v>
      </c>
      <c r="D2063" s="78">
        <v>40.389999000000003</v>
      </c>
    </row>
    <row r="2064" spans="2:4">
      <c r="B2064" s="76">
        <v>43840</v>
      </c>
      <c r="C2064" s="77">
        <v>26.370000999999998</v>
      </c>
      <c r="D2064" s="78">
        <v>40.299999</v>
      </c>
    </row>
    <row r="2065" spans="2:4">
      <c r="B2065" s="76">
        <v>43843</v>
      </c>
      <c r="C2065" s="77">
        <v>26.790001</v>
      </c>
      <c r="D2065" s="78">
        <v>40.590000000000003</v>
      </c>
    </row>
    <row r="2066" spans="2:4">
      <c r="B2066" s="76">
        <v>43844</v>
      </c>
      <c r="C2066" s="77">
        <v>26.43</v>
      </c>
      <c r="D2066" s="78">
        <v>40.529998999999997</v>
      </c>
    </row>
    <row r="2067" spans="2:4">
      <c r="B2067" s="76">
        <v>43845</v>
      </c>
      <c r="C2067" s="77">
        <v>27.110001</v>
      </c>
      <c r="D2067" s="78">
        <v>40.630001</v>
      </c>
    </row>
    <row r="2068" spans="2:4">
      <c r="B2068" s="76">
        <v>43846</v>
      </c>
      <c r="C2068" s="77">
        <v>27.030000999999999</v>
      </c>
      <c r="D2068" s="78">
        <v>40.98</v>
      </c>
    </row>
    <row r="2069" spans="2:4">
      <c r="B2069" s="76">
        <v>43847</v>
      </c>
      <c r="C2069" s="77">
        <v>26.82</v>
      </c>
      <c r="D2069" s="78">
        <v>41.07</v>
      </c>
    </row>
    <row r="2070" spans="2:4">
      <c r="B2070" s="76">
        <v>43851</v>
      </c>
      <c r="C2070" s="77">
        <v>27.129999000000002</v>
      </c>
      <c r="D2070" s="78">
        <v>40.970001000000003</v>
      </c>
    </row>
    <row r="2071" spans="2:4">
      <c r="B2071" s="76">
        <v>43852</v>
      </c>
      <c r="C2071" s="77">
        <v>26.870000999999998</v>
      </c>
      <c r="D2071" s="78">
        <v>41.009998000000003</v>
      </c>
    </row>
    <row r="2072" spans="2:4">
      <c r="B2072" s="76">
        <v>43853</v>
      </c>
      <c r="C2072" s="77">
        <v>26.92</v>
      </c>
      <c r="D2072" s="78">
        <v>41.060001</v>
      </c>
    </row>
    <row r="2073" spans="2:4">
      <c r="B2073" s="76">
        <v>43854</v>
      </c>
      <c r="C2073" s="77">
        <v>26.35</v>
      </c>
      <c r="D2073" s="78">
        <v>40.650002000000001</v>
      </c>
    </row>
    <row r="2074" spans="2:4">
      <c r="B2074" s="76">
        <v>43857</v>
      </c>
      <c r="C2074" s="77">
        <v>26.48</v>
      </c>
      <c r="D2074" s="78">
        <v>40.060001</v>
      </c>
    </row>
    <row r="2075" spans="2:4">
      <c r="B2075" s="76">
        <v>43858</v>
      </c>
      <c r="C2075" s="77">
        <v>26.99</v>
      </c>
      <c r="D2075" s="78">
        <v>40.450001</v>
      </c>
    </row>
    <row r="2076" spans="2:4">
      <c r="B2076" s="76">
        <v>43859</v>
      </c>
      <c r="C2076" s="77">
        <v>26.360001</v>
      </c>
      <c r="D2076" s="78">
        <v>40.380001</v>
      </c>
    </row>
    <row r="2077" spans="2:4">
      <c r="B2077" s="76">
        <v>43860</v>
      </c>
      <c r="C2077" s="77">
        <v>26.08</v>
      </c>
      <c r="D2077" s="78">
        <v>40.529998999999997</v>
      </c>
    </row>
    <row r="2078" spans="2:4">
      <c r="B2078" s="76">
        <v>43861</v>
      </c>
      <c r="C2078" s="77">
        <v>24.799999</v>
      </c>
      <c r="D2078" s="78">
        <v>39.779998999999997</v>
      </c>
    </row>
    <row r="2079" spans="2:4">
      <c r="B2079" s="76">
        <v>43864</v>
      </c>
      <c r="C2079" s="77">
        <v>24.65</v>
      </c>
      <c r="D2079" s="78">
        <v>40.090000000000003</v>
      </c>
    </row>
    <row r="2080" spans="2:4">
      <c r="B2080" s="76">
        <v>43865</v>
      </c>
      <c r="C2080" s="77">
        <v>25.059999000000001</v>
      </c>
      <c r="D2080" s="78">
        <v>40.700001</v>
      </c>
    </row>
    <row r="2081" spans="2:4">
      <c r="B2081" s="76">
        <v>43866</v>
      </c>
      <c r="C2081" s="77">
        <v>26.1</v>
      </c>
      <c r="D2081" s="78">
        <v>41.139999000000003</v>
      </c>
    </row>
    <row r="2082" spans="2:4">
      <c r="B2082" s="76">
        <v>43867</v>
      </c>
      <c r="C2082" s="77">
        <v>25.110001</v>
      </c>
      <c r="D2082" s="78">
        <v>41.25</v>
      </c>
    </row>
    <row r="2083" spans="2:4">
      <c r="B2083" s="76">
        <v>43868</v>
      </c>
      <c r="C2083" s="77">
        <v>24.530000999999999</v>
      </c>
      <c r="D2083" s="78">
        <v>41.029998999999997</v>
      </c>
    </row>
    <row r="2084" spans="2:4">
      <c r="B2084" s="76">
        <v>43871</v>
      </c>
      <c r="C2084" s="77">
        <v>25.110001</v>
      </c>
      <c r="D2084" s="78">
        <v>41.34</v>
      </c>
    </row>
    <row r="2085" spans="2:4">
      <c r="B2085" s="76">
        <v>43872</v>
      </c>
      <c r="C2085" s="77">
        <v>25.610001</v>
      </c>
      <c r="D2085" s="78">
        <v>41.43</v>
      </c>
    </row>
    <row r="2086" spans="2:4">
      <c r="B2086" s="76">
        <v>43873</v>
      </c>
      <c r="C2086" s="77">
        <v>26.68</v>
      </c>
      <c r="D2086" s="78">
        <v>41.700001</v>
      </c>
    </row>
    <row r="2087" spans="2:4">
      <c r="B2087" s="76">
        <v>43874</v>
      </c>
      <c r="C2087" s="77">
        <v>27.700001</v>
      </c>
      <c r="D2087" s="78">
        <v>41.650002000000001</v>
      </c>
    </row>
    <row r="2088" spans="2:4">
      <c r="B2088" s="76">
        <v>43875</v>
      </c>
      <c r="C2088" s="77">
        <v>27.190000999999999</v>
      </c>
      <c r="D2088" s="78">
        <v>41.709999000000003</v>
      </c>
    </row>
    <row r="2089" spans="2:4">
      <c r="B2089" s="76">
        <v>43879</v>
      </c>
      <c r="C2089" s="77">
        <v>27.27</v>
      </c>
      <c r="D2089" s="78">
        <v>41.580002</v>
      </c>
    </row>
    <row r="2090" spans="2:4">
      <c r="B2090" s="76">
        <v>43880</v>
      </c>
      <c r="C2090" s="77">
        <v>27.959999</v>
      </c>
      <c r="D2090" s="78">
        <v>41.810001</v>
      </c>
    </row>
    <row r="2091" spans="2:4">
      <c r="B2091" s="76">
        <v>43881</v>
      </c>
      <c r="C2091" s="77">
        <v>28.18</v>
      </c>
      <c r="D2091" s="78">
        <v>41.669998</v>
      </c>
    </row>
    <row r="2092" spans="2:4">
      <c r="B2092" s="76">
        <v>43882</v>
      </c>
      <c r="C2092" s="77">
        <v>26.690000999999999</v>
      </c>
      <c r="D2092" s="78">
        <v>41.209999000000003</v>
      </c>
    </row>
    <row r="2093" spans="2:4">
      <c r="B2093" s="76">
        <v>43885</v>
      </c>
      <c r="C2093" s="77">
        <v>26.700001</v>
      </c>
      <c r="D2093" s="78">
        <v>39.880001</v>
      </c>
    </row>
    <row r="2094" spans="2:4">
      <c r="B2094" s="76">
        <v>43886</v>
      </c>
      <c r="C2094" s="77">
        <v>24.719999000000001</v>
      </c>
      <c r="D2094" s="78">
        <v>38.630001</v>
      </c>
    </row>
    <row r="2095" spans="2:4">
      <c r="B2095" s="76">
        <v>43887</v>
      </c>
      <c r="C2095" s="77">
        <v>23.27</v>
      </c>
      <c r="D2095" s="78">
        <v>38.470001000000003</v>
      </c>
    </row>
    <row r="2096" spans="2:4">
      <c r="B2096" s="76">
        <v>43888</v>
      </c>
      <c r="C2096" s="77">
        <v>22.99</v>
      </c>
      <c r="D2096" s="78">
        <v>36.770000000000003</v>
      </c>
    </row>
    <row r="2097" spans="2:4">
      <c r="B2097" s="76">
        <v>43889</v>
      </c>
      <c r="C2097" s="77">
        <v>22.709999</v>
      </c>
      <c r="D2097" s="78">
        <v>36.490001999999997</v>
      </c>
    </row>
    <row r="2098" spans="2:4">
      <c r="B2098" s="76">
        <v>43892</v>
      </c>
      <c r="C2098" s="77">
        <v>24.17</v>
      </c>
      <c r="D2098" s="78">
        <v>38.110000999999997</v>
      </c>
    </row>
    <row r="2099" spans="2:4">
      <c r="B2099" s="76">
        <v>43893</v>
      </c>
      <c r="C2099" s="77">
        <v>23.719999000000001</v>
      </c>
      <c r="D2099" s="78">
        <v>37.049999</v>
      </c>
    </row>
    <row r="2100" spans="2:4">
      <c r="B2100" s="76">
        <v>43894</v>
      </c>
      <c r="C2100" s="77">
        <v>25.639999</v>
      </c>
      <c r="D2100" s="78">
        <v>38.580002</v>
      </c>
    </row>
    <row r="2101" spans="2:4">
      <c r="B2101" s="76">
        <v>43895</v>
      </c>
      <c r="C2101" s="77">
        <v>24.469999000000001</v>
      </c>
      <c r="D2101" s="78">
        <v>37.290000999999997</v>
      </c>
    </row>
    <row r="2102" spans="2:4">
      <c r="B2102" s="76">
        <v>43896</v>
      </c>
      <c r="C2102" s="77">
        <v>22.08</v>
      </c>
      <c r="D2102" s="78">
        <v>36.610000999999997</v>
      </c>
    </row>
    <row r="2103" spans="2:4">
      <c r="B2103" s="76">
        <v>43899</v>
      </c>
      <c r="C2103" s="77">
        <v>18.969999000000001</v>
      </c>
      <c r="D2103" s="78">
        <v>33.790000999999997</v>
      </c>
    </row>
    <row r="2104" spans="2:4">
      <c r="B2104" s="76">
        <v>43900</v>
      </c>
      <c r="C2104" s="77">
        <v>20.67</v>
      </c>
      <c r="D2104" s="78">
        <v>35.439999</v>
      </c>
    </row>
    <row r="2105" spans="2:4">
      <c r="B2105" s="76">
        <v>43901</v>
      </c>
      <c r="C2105" s="77">
        <v>19.110001</v>
      </c>
      <c r="D2105" s="78">
        <v>33.669998</v>
      </c>
    </row>
    <row r="2106" spans="2:4">
      <c r="B2106" s="76">
        <v>43902</v>
      </c>
      <c r="C2106" s="77">
        <v>14.76</v>
      </c>
      <c r="D2106" s="78">
        <v>30.35</v>
      </c>
    </row>
    <row r="2107" spans="2:4">
      <c r="B2107" s="76">
        <v>43903</v>
      </c>
      <c r="C2107" s="77">
        <v>15.9</v>
      </c>
      <c r="D2107" s="78">
        <v>33.130001</v>
      </c>
    </row>
    <row r="2108" spans="2:4">
      <c r="B2108" s="76">
        <v>43906</v>
      </c>
      <c r="C2108" s="77">
        <v>12.2</v>
      </c>
      <c r="D2108" s="78">
        <v>29.34</v>
      </c>
    </row>
    <row r="2109" spans="2:4">
      <c r="B2109" s="76">
        <v>43907</v>
      </c>
      <c r="C2109" s="77">
        <v>11.29</v>
      </c>
      <c r="D2109" s="78">
        <v>30.92</v>
      </c>
    </row>
    <row r="2110" spans="2:4">
      <c r="B2110" s="76">
        <v>43908</v>
      </c>
      <c r="C2110" s="77">
        <v>10.65</v>
      </c>
      <c r="D2110" s="78">
        <v>29.309999000000001</v>
      </c>
    </row>
    <row r="2111" spans="2:4">
      <c r="B2111" s="76">
        <v>43909</v>
      </c>
      <c r="C2111" s="77">
        <v>12.01</v>
      </c>
      <c r="D2111" s="78">
        <v>29.41</v>
      </c>
    </row>
    <row r="2112" spans="2:4">
      <c r="B2112" s="76">
        <v>43910</v>
      </c>
      <c r="C2112" s="77">
        <v>11.4</v>
      </c>
      <c r="D2112" s="78">
        <v>28.09</v>
      </c>
    </row>
    <row r="2113" spans="2:4">
      <c r="B2113" s="76">
        <v>43913</v>
      </c>
      <c r="C2113" s="77">
        <v>11.12</v>
      </c>
      <c r="D2113" s="78">
        <v>27.120000999999998</v>
      </c>
    </row>
    <row r="2114" spans="2:4">
      <c r="B2114" s="76">
        <v>43914</v>
      </c>
      <c r="C2114" s="77">
        <v>13.72</v>
      </c>
      <c r="D2114" s="78">
        <v>29.74</v>
      </c>
    </row>
    <row r="2115" spans="2:4">
      <c r="B2115" s="76">
        <v>43915</v>
      </c>
      <c r="C2115" s="77">
        <v>14.63</v>
      </c>
      <c r="D2115" s="78">
        <v>30.09</v>
      </c>
    </row>
    <row r="2116" spans="2:4">
      <c r="B2116" s="76">
        <v>43916</v>
      </c>
      <c r="C2116" s="77">
        <v>14.18</v>
      </c>
      <c r="D2116" s="78">
        <v>31.940000999999999</v>
      </c>
    </row>
    <row r="2117" spans="2:4">
      <c r="B2117" s="76">
        <v>43917</v>
      </c>
      <c r="C2117" s="77">
        <v>13.33</v>
      </c>
      <c r="D2117" s="78">
        <v>30.959999</v>
      </c>
    </row>
    <row r="2118" spans="2:4">
      <c r="B2118" s="76">
        <v>43920</v>
      </c>
      <c r="C2118" s="77">
        <v>12.86</v>
      </c>
      <c r="D2118" s="78">
        <v>31.93</v>
      </c>
    </row>
    <row r="2119" spans="2:4">
      <c r="B2119" s="76">
        <v>43921</v>
      </c>
      <c r="C2119" s="77">
        <v>12.23</v>
      </c>
      <c r="D2119" s="78">
        <v>31.450001</v>
      </c>
    </row>
    <row r="2120" spans="2:4">
      <c r="B2120" s="76">
        <v>43922</v>
      </c>
      <c r="C2120" s="77">
        <v>11.48</v>
      </c>
      <c r="D2120" s="78">
        <v>29.99</v>
      </c>
    </row>
    <row r="2121" spans="2:4">
      <c r="B2121" s="76">
        <v>43923</v>
      </c>
      <c r="C2121" s="77">
        <v>11.54</v>
      </c>
      <c r="D2121" s="78">
        <v>30.66</v>
      </c>
    </row>
    <row r="2122" spans="2:4">
      <c r="B2122" s="76">
        <v>43924</v>
      </c>
      <c r="C2122" s="77">
        <v>10.91</v>
      </c>
      <c r="D2122" s="78">
        <v>30.200001</v>
      </c>
    </row>
    <row r="2123" spans="2:4">
      <c r="B2123" s="76">
        <v>43927</v>
      </c>
      <c r="C2123" s="77">
        <v>12.81</v>
      </c>
      <c r="D2123" s="78">
        <v>32.270000000000003</v>
      </c>
    </row>
    <row r="2124" spans="2:4">
      <c r="B2124" s="76">
        <v>43928</v>
      </c>
      <c r="C2124" s="77">
        <v>13.59</v>
      </c>
      <c r="D2124" s="78">
        <v>32.310001</v>
      </c>
    </row>
    <row r="2125" spans="2:4">
      <c r="B2125" s="76">
        <v>43929</v>
      </c>
      <c r="C2125" s="77">
        <v>13.58</v>
      </c>
      <c r="D2125" s="78">
        <v>33.459999000000003</v>
      </c>
    </row>
    <row r="2126" spans="2:4">
      <c r="B2126" s="76">
        <v>43930</v>
      </c>
      <c r="C2126" s="77">
        <v>15.04</v>
      </c>
      <c r="D2126" s="78">
        <v>33.979999999999997</v>
      </c>
    </row>
    <row r="2127" spans="2:4">
      <c r="B2127" s="76">
        <v>43934</v>
      </c>
      <c r="C2127" s="77">
        <v>13.83</v>
      </c>
      <c r="D2127" s="78">
        <v>33.590000000000003</v>
      </c>
    </row>
    <row r="2128" spans="2:4">
      <c r="B2128" s="76">
        <v>43935</v>
      </c>
      <c r="C2128" s="77">
        <v>14.14</v>
      </c>
      <c r="D2128" s="78">
        <v>34.630001</v>
      </c>
    </row>
    <row r="2129" spans="2:4">
      <c r="B2129" s="76">
        <v>43936</v>
      </c>
      <c r="C2129" s="77">
        <v>13.25</v>
      </c>
      <c r="D2129" s="78">
        <v>33.799999</v>
      </c>
    </row>
    <row r="2130" spans="2:4">
      <c r="B2130" s="76">
        <v>43937</v>
      </c>
      <c r="C2130" s="77">
        <v>12.95</v>
      </c>
      <c r="D2130" s="78">
        <v>33.939999</v>
      </c>
    </row>
    <row r="2131" spans="2:4">
      <c r="B2131" s="76">
        <v>43938</v>
      </c>
      <c r="C2131" s="77">
        <v>14.62</v>
      </c>
      <c r="D2131" s="78">
        <v>34.919998</v>
      </c>
    </row>
    <row r="2132" spans="2:4">
      <c r="B2132" s="76">
        <v>43941</v>
      </c>
      <c r="C2132" s="77">
        <v>13.94</v>
      </c>
      <c r="D2132" s="78">
        <v>34.259998000000003</v>
      </c>
    </row>
    <row r="2133" spans="2:4">
      <c r="B2133" s="76">
        <v>43942</v>
      </c>
      <c r="C2133" s="77">
        <v>13.48</v>
      </c>
      <c r="D2133" s="78">
        <v>33.270000000000003</v>
      </c>
    </row>
    <row r="2134" spans="2:4">
      <c r="B2134" s="76">
        <v>43943</v>
      </c>
      <c r="C2134" s="77">
        <v>13.46</v>
      </c>
      <c r="D2134" s="78">
        <v>33.979999999999997</v>
      </c>
    </row>
    <row r="2135" spans="2:4">
      <c r="B2135" s="76">
        <v>43944</v>
      </c>
      <c r="C2135" s="77">
        <v>13.96</v>
      </c>
      <c r="D2135" s="78">
        <v>34.020000000000003</v>
      </c>
    </row>
    <row r="2136" spans="2:4">
      <c r="B2136" s="76">
        <v>43945</v>
      </c>
      <c r="C2136" s="77">
        <v>14.73</v>
      </c>
      <c r="D2136" s="78">
        <v>34.5</v>
      </c>
    </row>
    <row r="2137" spans="2:4">
      <c r="B2137" s="76">
        <v>43948</v>
      </c>
      <c r="C2137" s="77">
        <v>15.8</v>
      </c>
      <c r="D2137" s="78">
        <v>35.060001</v>
      </c>
    </row>
    <row r="2138" spans="2:4">
      <c r="B2138" s="76">
        <v>43949</v>
      </c>
      <c r="C2138" s="77">
        <v>17.299999</v>
      </c>
      <c r="D2138" s="78">
        <v>34.909999999999997</v>
      </c>
    </row>
    <row r="2139" spans="2:4">
      <c r="B2139" s="76">
        <v>43950</v>
      </c>
      <c r="C2139" s="77">
        <v>19.540001</v>
      </c>
      <c r="D2139" s="78">
        <v>35.909999999999997</v>
      </c>
    </row>
    <row r="2140" spans="2:4">
      <c r="B2140" s="76">
        <v>43951</v>
      </c>
      <c r="C2140" s="77">
        <v>18.350000000000001</v>
      </c>
      <c r="D2140" s="78">
        <v>35.5</v>
      </c>
    </row>
    <row r="2141" spans="2:4">
      <c r="B2141" s="76">
        <v>43952</v>
      </c>
      <c r="C2141" s="77">
        <v>17.239999999999998</v>
      </c>
      <c r="D2141" s="78">
        <v>34.529998999999997</v>
      </c>
    </row>
    <row r="2142" spans="2:4">
      <c r="B2142" s="76">
        <v>43955</v>
      </c>
      <c r="C2142" s="77">
        <v>16.84</v>
      </c>
      <c r="D2142" s="78">
        <v>34.619999</v>
      </c>
    </row>
    <row r="2143" spans="2:4">
      <c r="B2143" s="76">
        <v>43956</v>
      </c>
      <c r="C2143" s="77">
        <v>16.899999999999999</v>
      </c>
      <c r="D2143" s="78">
        <v>34.900002000000001</v>
      </c>
    </row>
    <row r="2144" spans="2:4">
      <c r="B2144" s="76">
        <v>43957</v>
      </c>
      <c r="C2144" s="77">
        <v>16.209999</v>
      </c>
      <c r="D2144" s="78">
        <v>34.700001</v>
      </c>
    </row>
    <row r="2145" spans="2:4">
      <c r="B2145" s="76">
        <v>43958</v>
      </c>
      <c r="C2145" s="77">
        <v>17.149999999999999</v>
      </c>
      <c r="D2145" s="78">
        <v>35.090000000000003</v>
      </c>
    </row>
    <row r="2146" spans="2:4">
      <c r="B2146" s="76">
        <v>43959</v>
      </c>
      <c r="C2146" s="77">
        <v>17.889999</v>
      </c>
      <c r="D2146" s="78">
        <v>35.729999999999997</v>
      </c>
    </row>
    <row r="2147" spans="2:4">
      <c r="B2147" s="76">
        <v>43962</v>
      </c>
      <c r="C2147" s="77">
        <v>17.620000999999998</v>
      </c>
      <c r="D2147" s="78">
        <v>35.729999999999997</v>
      </c>
    </row>
    <row r="2148" spans="2:4">
      <c r="B2148" s="76">
        <v>43963</v>
      </c>
      <c r="C2148" s="77">
        <v>16.540001</v>
      </c>
      <c r="D2148" s="78">
        <v>34.979999999999997</v>
      </c>
    </row>
    <row r="2149" spans="2:4">
      <c r="B2149" s="76">
        <v>43964</v>
      </c>
      <c r="C2149" s="77">
        <v>15.31</v>
      </c>
      <c r="D2149" s="78">
        <v>34.290000999999997</v>
      </c>
    </row>
    <row r="2150" spans="2:4">
      <c r="B2150" s="76">
        <v>43965</v>
      </c>
      <c r="C2150" s="77">
        <v>15.7</v>
      </c>
      <c r="D2150" s="78">
        <v>34.689999</v>
      </c>
    </row>
    <row r="2151" spans="2:4">
      <c r="B2151" s="76">
        <v>43966</v>
      </c>
      <c r="C2151" s="77">
        <v>16.09</v>
      </c>
      <c r="D2151" s="78">
        <v>34.860000999999997</v>
      </c>
    </row>
    <row r="2152" spans="2:4">
      <c r="B2152" s="76">
        <v>43969</v>
      </c>
      <c r="C2152" s="77">
        <v>18.879999000000002</v>
      </c>
      <c r="D2152" s="78">
        <v>36.009998000000003</v>
      </c>
    </row>
    <row r="2153" spans="2:4">
      <c r="B2153" s="76">
        <v>43970</v>
      </c>
      <c r="C2153" s="77">
        <v>17.709999</v>
      </c>
      <c r="D2153" s="78">
        <v>35.669998</v>
      </c>
    </row>
    <row r="2154" spans="2:4">
      <c r="B2154" s="76">
        <v>43971</v>
      </c>
      <c r="C2154" s="77">
        <v>18.510000000000002</v>
      </c>
      <c r="D2154" s="78">
        <v>36.290000999999997</v>
      </c>
    </row>
    <row r="2155" spans="2:4">
      <c r="B2155" s="76">
        <v>43972</v>
      </c>
      <c r="C2155" s="77">
        <v>18.440000999999999</v>
      </c>
      <c r="D2155" s="78">
        <v>36.049999</v>
      </c>
    </row>
    <row r="2156" spans="2:4">
      <c r="B2156" s="76">
        <v>43973</v>
      </c>
      <c r="C2156" s="77">
        <v>19.18</v>
      </c>
      <c r="D2156" s="78">
        <v>36.110000999999997</v>
      </c>
    </row>
    <row r="2157" spans="2:4">
      <c r="B2157" s="76">
        <v>43977</v>
      </c>
      <c r="C2157" s="77">
        <v>20.559999000000001</v>
      </c>
      <c r="D2157" s="78">
        <v>36.619999</v>
      </c>
    </row>
    <row r="2158" spans="2:4">
      <c r="B2158" s="76">
        <v>43978</v>
      </c>
      <c r="C2158" s="77">
        <v>22.290001</v>
      </c>
      <c r="D2158" s="78">
        <v>37.220001000000003</v>
      </c>
    </row>
    <row r="2159" spans="2:4">
      <c r="B2159" s="76">
        <v>43979</v>
      </c>
      <c r="C2159" s="77">
        <v>20.66</v>
      </c>
      <c r="D2159" s="78">
        <v>37.119999</v>
      </c>
    </row>
    <row r="2160" spans="2:4">
      <c r="B2160" s="76">
        <v>43980</v>
      </c>
      <c r="C2160" s="77">
        <v>20.809999000000001</v>
      </c>
      <c r="D2160" s="78">
        <v>37.189999</v>
      </c>
    </row>
    <row r="2161" spans="2:4">
      <c r="B2161" s="76">
        <v>43983</v>
      </c>
      <c r="C2161" s="77">
        <v>21.5</v>
      </c>
      <c r="D2161" s="78">
        <v>37.389999000000003</v>
      </c>
    </row>
    <row r="2162" spans="2:4">
      <c r="B2162" s="76">
        <v>43984</v>
      </c>
      <c r="C2162" s="77">
        <v>22.49</v>
      </c>
      <c r="D2162" s="78">
        <v>37.709999000000003</v>
      </c>
    </row>
    <row r="2163" spans="2:4">
      <c r="B2163" s="76">
        <v>43985</v>
      </c>
      <c r="C2163" s="77">
        <v>22.25</v>
      </c>
      <c r="D2163" s="78">
        <v>38.299999</v>
      </c>
    </row>
    <row r="2164" spans="2:4">
      <c r="B2164" s="76">
        <v>43986</v>
      </c>
      <c r="C2164" s="77">
        <v>22.440000999999999</v>
      </c>
      <c r="D2164" s="78">
        <v>38.169998</v>
      </c>
    </row>
    <row r="2165" spans="2:4">
      <c r="B2165" s="76">
        <v>43987</v>
      </c>
      <c r="C2165" s="77">
        <v>23.540001</v>
      </c>
      <c r="D2165" s="78">
        <v>39.220001000000003</v>
      </c>
    </row>
    <row r="2166" spans="2:4">
      <c r="B2166" s="76">
        <v>43990</v>
      </c>
      <c r="C2166" s="77">
        <v>23.4</v>
      </c>
      <c r="D2166" s="78">
        <v>39.740001999999997</v>
      </c>
    </row>
    <row r="2167" spans="2:4">
      <c r="B2167" s="76">
        <v>43991</v>
      </c>
      <c r="C2167" s="77">
        <v>22.709999</v>
      </c>
      <c r="D2167" s="78">
        <v>39.360000999999997</v>
      </c>
    </row>
    <row r="2168" spans="2:4">
      <c r="B2168" s="76">
        <v>43992</v>
      </c>
      <c r="C2168" s="77">
        <v>22.690000999999999</v>
      </c>
      <c r="D2168" s="78">
        <v>39.07</v>
      </c>
    </row>
    <row r="2169" spans="2:4">
      <c r="B2169" s="76">
        <v>43993</v>
      </c>
      <c r="C2169" s="77">
        <v>20.67</v>
      </c>
      <c r="D2169" s="78">
        <v>36.770000000000003</v>
      </c>
    </row>
    <row r="2170" spans="2:4">
      <c r="B2170" s="76">
        <v>43994</v>
      </c>
      <c r="C2170" s="77">
        <v>20.99</v>
      </c>
      <c r="D2170" s="78">
        <v>37.259998000000003</v>
      </c>
    </row>
    <row r="2171" spans="2:4">
      <c r="B2171" s="76">
        <v>43997</v>
      </c>
      <c r="C2171" s="77">
        <v>22.74</v>
      </c>
      <c r="D2171" s="78">
        <v>37.580002</v>
      </c>
    </row>
    <row r="2172" spans="2:4">
      <c r="B2172" s="76">
        <v>43998</v>
      </c>
      <c r="C2172" s="77">
        <v>23.049999</v>
      </c>
      <c r="D2172" s="78">
        <v>38.32</v>
      </c>
    </row>
    <row r="2173" spans="2:4">
      <c r="B2173" s="76">
        <v>43999</v>
      </c>
      <c r="C2173" s="77">
        <v>22.26</v>
      </c>
      <c r="D2173" s="78">
        <v>38.150002000000001</v>
      </c>
    </row>
    <row r="2174" spans="2:4">
      <c r="B2174" s="76">
        <v>44000</v>
      </c>
      <c r="C2174" s="77">
        <v>22.110001</v>
      </c>
      <c r="D2174" s="78">
        <v>38.159999999999997</v>
      </c>
    </row>
    <row r="2175" spans="2:4">
      <c r="B2175" s="76">
        <v>44001</v>
      </c>
      <c r="C2175" s="77">
        <v>21.58</v>
      </c>
      <c r="D2175" s="78">
        <v>37.909999999999997</v>
      </c>
    </row>
    <row r="2176" spans="2:4">
      <c r="B2176" s="76">
        <v>44004</v>
      </c>
      <c r="C2176" s="77">
        <v>21.700001</v>
      </c>
      <c r="D2176" s="78">
        <v>38.020000000000003</v>
      </c>
    </row>
    <row r="2177" spans="2:4">
      <c r="B2177" s="76">
        <v>44005</v>
      </c>
      <c r="C2177" s="77">
        <v>21.700001</v>
      </c>
      <c r="D2177" s="78">
        <v>38.139999000000003</v>
      </c>
    </row>
    <row r="2178" spans="2:4">
      <c r="B2178" s="76">
        <v>44006</v>
      </c>
      <c r="C2178" s="77">
        <v>20.66</v>
      </c>
      <c r="D2178" s="78">
        <v>37.169998</v>
      </c>
    </row>
    <row r="2179" spans="2:4">
      <c r="B2179" s="76">
        <v>44007</v>
      </c>
      <c r="C2179" s="77">
        <v>20.309999000000001</v>
      </c>
      <c r="D2179" s="78">
        <v>37.57</v>
      </c>
    </row>
    <row r="2180" spans="2:4">
      <c r="B2180" s="76">
        <v>44008</v>
      </c>
      <c r="C2180" s="77">
        <v>19.350000000000001</v>
      </c>
      <c r="D2180" s="78">
        <v>36.669998</v>
      </c>
    </row>
    <row r="2181" spans="2:4">
      <c r="B2181" s="76">
        <v>44011</v>
      </c>
      <c r="C2181" s="77">
        <v>20.459999</v>
      </c>
      <c r="D2181" s="78">
        <v>37.259998000000003</v>
      </c>
    </row>
    <row r="2182" spans="2:4">
      <c r="B2182" s="76">
        <v>44012</v>
      </c>
      <c r="C2182" s="77">
        <v>20.700001</v>
      </c>
      <c r="D2182" s="78">
        <v>37.779998999999997</v>
      </c>
    </row>
    <row r="2183" spans="2:4">
      <c r="B2183" s="76">
        <v>44013</v>
      </c>
      <c r="C2183" s="77">
        <v>19.73</v>
      </c>
      <c r="D2183" s="78">
        <v>37.970001000000003</v>
      </c>
    </row>
    <row r="2184" spans="2:4">
      <c r="B2184" s="76">
        <v>44014</v>
      </c>
      <c r="C2184" s="77">
        <v>20.07</v>
      </c>
      <c r="D2184" s="78">
        <v>38.130001</v>
      </c>
    </row>
    <row r="2185" spans="2:4">
      <c r="B2185" s="76">
        <v>44018</v>
      </c>
      <c r="C2185" s="77">
        <v>20.43</v>
      </c>
      <c r="D2185" s="78">
        <v>38.709999000000003</v>
      </c>
    </row>
    <row r="2186" spans="2:4">
      <c r="B2186" s="76">
        <v>44019</v>
      </c>
      <c r="C2186" s="77">
        <v>19.84</v>
      </c>
      <c r="D2186" s="78">
        <v>38.310001</v>
      </c>
    </row>
    <row r="2187" spans="2:4">
      <c r="B2187" s="76">
        <v>44020</v>
      </c>
      <c r="C2187" s="77">
        <v>20.860001</v>
      </c>
      <c r="D2187" s="78">
        <v>38.590000000000003</v>
      </c>
    </row>
    <row r="2188" spans="2:4">
      <c r="B2188" s="76">
        <v>44021</v>
      </c>
      <c r="C2188" s="77">
        <v>19.59</v>
      </c>
      <c r="D2188" s="78">
        <v>38.349997999999999</v>
      </c>
    </row>
    <row r="2189" spans="2:4">
      <c r="B2189" s="76">
        <v>44022</v>
      </c>
      <c r="C2189" s="77">
        <v>19.91</v>
      </c>
      <c r="D2189" s="78">
        <v>38.759998000000003</v>
      </c>
    </row>
    <row r="2190" spans="2:4">
      <c r="B2190" s="76">
        <v>44025</v>
      </c>
      <c r="C2190" s="77">
        <v>19.34</v>
      </c>
      <c r="D2190" s="78">
        <v>38.409999999999997</v>
      </c>
    </row>
    <row r="2191" spans="2:4">
      <c r="B2191" s="76">
        <v>44026</v>
      </c>
      <c r="C2191" s="77">
        <v>20.719999000000001</v>
      </c>
      <c r="D2191" s="78">
        <v>38.939999</v>
      </c>
    </row>
    <row r="2192" spans="2:4">
      <c r="B2192" s="76">
        <v>44027</v>
      </c>
      <c r="C2192" s="77">
        <v>22.02</v>
      </c>
      <c r="D2192" s="78">
        <v>39.360000999999997</v>
      </c>
    </row>
    <row r="2193" spans="2:4">
      <c r="B2193" s="76">
        <v>44028</v>
      </c>
      <c r="C2193" s="77">
        <v>22.35</v>
      </c>
      <c r="D2193" s="78">
        <v>39.200001</v>
      </c>
    </row>
    <row r="2194" spans="2:4">
      <c r="B2194" s="76">
        <v>44029</v>
      </c>
      <c r="C2194" s="77">
        <v>22.049999</v>
      </c>
      <c r="D2194" s="78">
        <v>39.330002</v>
      </c>
    </row>
    <row r="2195" spans="2:4">
      <c r="B2195" s="76">
        <v>44032</v>
      </c>
      <c r="C2195" s="77">
        <v>21.9</v>
      </c>
      <c r="D2195" s="78">
        <v>39.610000999999997</v>
      </c>
    </row>
    <row r="2196" spans="2:4">
      <c r="B2196" s="76">
        <v>44033</v>
      </c>
      <c r="C2196" s="77">
        <v>22.27</v>
      </c>
      <c r="D2196" s="78">
        <v>39.709999000000003</v>
      </c>
    </row>
    <row r="2197" spans="2:4">
      <c r="B2197" s="76">
        <v>44034</v>
      </c>
      <c r="C2197" s="77">
        <v>23.290001</v>
      </c>
      <c r="D2197" s="78">
        <v>39.950001</v>
      </c>
    </row>
    <row r="2198" spans="2:4">
      <c r="B2198" s="76">
        <v>44035</v>
      </c>
      <c r="C2198" s="77">
        <v>23.26</v>
      </c>
      <c r="D2198" s="78">
        <v>39.490001999999997</v>
      </c>
    </row>
    <row r="2199" spans="2:4">
      <c r="B2199" s="76">
        <v>44036</v>
      </c>
      <c r="C2199" s="77">
        <v>23.1</v>
      </c>
      <c r="D2199" s="78">
        <v>39.259998000000003</v>
      </c>
    </row>
    <row r="2200" spans="2:4">
      <c r="B2200" s="76">
        <v>44039</v>
      </c>
      <c r="C2200" s="77">
        <v>23.809999000000001</v>
      </c>
      <c r="D2200" s="78">
        <v>39.549999</v>
      </c>
    </row>
    <row r="2201" spans="2:4">
      <c r="B2201" s="76">
        <v>44040</v>
      </c>
      <c r="C2201" s="77">
        <v>22.559999000000001</v>
      </c>
      <c r="D2201" s="78">
        <v>39.290000999999997</v>
      </c>
    </row>
    <row r="2202" spans="2:4">
      <c r="B2202" s="76">
        <v>44041</v>
      </c>
      <c r="C2202" s="77">
        <v>23.700001</v>
      </c>
      <c r="D2202" s="78">
        <v>39.810001</v>
      </c>
    </row>
    <row r="2203" spans="2:4">
      <c r="B2203" s="76">
        <v>44042</v>
      </c>
      <c r="C2203" s="77">
        <v>23.43</v>
      </c>
      <c r="D2203" s="78">
        <v>39.659999999999997</v>
      </c>
    </row>
    <row r="2204" spans="2:4">
      <c r="B2204" s="76">
        <v>44043</v>
      </c>
      <c r="C2204" s="77">
        <v>23.690000999999999</v>
      </c>
      <c r="D2204" s="78">
        <v>39.909999999999997</v>
      </c>
    </row>
    <row r="2205" spans="2:4">
      <c r="B2205" s="76">
        <v>44046</v>
      </c>
      <c r="C2205" s="77">
        <v>27.27</v>
      </c>
      <c r="D2205" s="78">
        <v>40.200001</v>
      </c>
    </row>
    <row r="2206" spans="2:4">
      <c r="B2206" s="76">
        <v>44047</v>
      </c>
      <c r="C2206" s="77">
        <v>26.219999000000001</v>
      </c>
      <c r="D2206" s="78">
        <v>40.349997999999999</v>
      </c>
    </row>
    <row r="2207" spans="2:4">
      <c r="B2207" s="76">
        <v>44048</v>
      </c>
      <c r="C2207" s="77">
        <v>26.530000999999999</v>
      </c>
      <c r="D2207" s="78">
        <v>40.659999999999997</v>
      </c>
    </row>
    <row r="2208" spans="2:4">
      <c r="B2208" s="76">
        <v>44049</v>
      </c>
      <c r="C2208" s="77">
        <v>26.49</v>
      </c>
      <c r="D2208" s="78">
        <v>40.880001</v>
      </c>
    </row>
    <row r="2209" spans="2:4">
      <c r="B2209" s="76">
        <v>44050</v>
      </c>
      <c r="C2209" s="77">
        <v>26.92</v>
      </c>
      <c r="D2209" s="78">
        <v>40.98</v>
      </c>
    </row>
    <row r="2210" spans="2:4">
      <c r="B2210" s="76">
        <v>44053</v>
      </c>
      <c r="C2210" s="77">
        <v>27.780000999999999</v>
      </c>
      <c r="D2210" s="78">
        <v>41.099997999999999</v>
      </c>
    </row>
    <row r="2211" spans="2:4">
      <c r="B2211" s="76">
        <v>44054</v>
      </c>
      <c r="C2211" s="77">
        <v>27.059999000000001</v>
      </c>
      <c r="D2211" s="78">
        <v>40.810001</v>
      </c>
    </row>
    <row r="2212" spans="2:4">
      <c r="B2212" s="76">
        <v>44055</v>
      </c>
      <c r="C2212" s="77">
        <v>30.360001</v>
      </c>
      <c r="D2212" s="78">
        <v>41.310001</v>
      </c>
    </row>
    <row r="2213" spans="2:4">
      <c r="B2213" s="76">
        <v>44056</v>
      </c>
      <c r="C2213" s="77">
        <v>31.379999000000002</v>
      </c>
      <c r="D2213" s="78">
        <v>41.259998000000003</v>
      </c>
    </row>
    <row r="2214" spans="2:4">
      <c r="B2214" s="76">
        <v>44057</v>
      </c>
      <c r="C2214" s="77">
        <v>30.27</v>
      </c>
      <c r="D2214" s="78">
        <v>41.23</v>
      </c>
    </row>
    <row r="2215" spans="2:4">
      <c r="B2215" s="76">
        <v>44060</v>
      </c>
      <c r="C2215" s="77">
        <v>30.02</v>
      </c>
      <c r="D2215" s="78">
        <v>41.360000999999997</v>
      </c>
    </row>
    <row r="2216" spans="2:4">
      <c r="B2216" s="76">
        <v>44061</v>
      </c>
      <c r="C2216" s="77">
        <v>29.49</v>
      </c>
      <c r="D2216" s="78">
        <v>41.400002000000001</v>
      </c>
    </row>
    <row r="2217" spans="2:4">
      <c r="B2217" s="76">
        <v>44062</v>
      </c>
      <c r="C2217" s="77">
        <v>28.809999000000001</v>
      </c>
      <c r="D2217" s="78">
        <v>41.259998000000003</v>
      </c>
    </row>
    <row r="2218" spans="2:4">
      <c r="B2218" s="76">
        <v>44063</v>
      </c>
      <c r="C2218" s="77">
        <v>28.17</v>
      </c>
      <c r="D2218" s="78">
        <v>41.349997999999999</v>
      </c>
    </row>
    <row r="2219" spans="2:4">
      <c r="B2219" s="76">
        <v>44064</v>
      </c>
      <c r="C2219" s="77">
        <v>28.620000999999998</v>
      </c>
      <c r="D2219" s="78">
        <v>41.48</v>
      </c>
    </row>
    <row r="2220" spans="2:4">
      <c r="B2220" s="76">
        <v>44067</v>
      </c>
      <c r="C2220" s="77">
        <v>28.129999000000002</v>
      </c>
      <c r="D2220" s="78">
        <v>41.91</v>
      </c>
    </row>
    <row r="2221" spans="2:4">
      <c r="B2221" s="76">
        <v>44068</v>
      </c>
      <c r="C2221" s="77">
        <v>28.030000999999999</v>
      </c>
      <c r="D2221" s="78">
        <v>42.060001</v>
      </c>
    </row>
    <row r="2222" spans="2:4">
      <c r="B2222" s="76">
        <v>44069</v>
      </c>
      <c r="C2222" s="77">
        <v>27.91</v>
      </c>
      <c r="D2222" s="78">
        <v>42.43</v>
      </c>
    </row>
    <row r="2223" spans="2:4">
      <c r="B2223" s="76">
        <v>44070</v>
      </c>
      <c r="C2223" s="77">
        <v>30.24</v>
      </c>
      <c r="D2223" s="78">
        <v>42.5</v>
      </c>
    </row>
    <row r="2224" spans="2:4">
      <c r="B2224" s="76">
        <v>44071</v>
      </c>
      <c r="C2224" s="77">
        <v>31.67</v>
      </c>
      <c r="D2224" s="78">
        <v>42.77</v>
      </c>
    </row>
    <row r="2225" spans="2:4">
      <c r="B2225" s="76">
        <v>44074</v>
      </c>
      <c r="C2225" s="77">
        <v>30.620000999999998</v>
      </c>
      <c r="D2225" s="78">
        <v>42.639999000000003</v>
      </c>
    </row>
    <row r="2226" spans="2:4">
      <c r="B2226" s="76">
        <v>44075</v>
      </c>
      <c r="C2226" s="77">
        <v>30.98</v>
      </c>
      <c r="D2226" s="78">
        <v>43</v>
      </c>
    </row>
    <row r="2227" spans="2:4">
      <c r="B2227" s="76">
        <v>44076</v>
      </c>
      <c r="C2227" s="77">
        <v>31.52</v>
      </c>
      <c r="D2227" s="78">
        <v>43.650002000000001</v>
      </c>
    </row>
    <row r="2228" spans="2:4">
      <c r="B2228" s="76">
        <v>44077</v>
      </c>
      <c r="C2228" s="77">
        <v>30.16</v>
      </c>
      <c r="D2228" s="78">
        <v>42.169998</v>
      </c>
    </row>
    <row r="2229" spans="2:4">
      <c r="B2229" s="76">
        <v>44078</v>
      </c>
      <c r="C2229" s="77">
        <v>30.02</v>
      </c>
      <c r="D2229" s="78">
        <v>41.830002</v>
      </c>
    </row>
    <row r="2230" spans="2:4">
      <c r="B2230" s="76">
        <v>44082</v>
      </c>
      <c r="C2230" s="77">
        <v>30.02</v>
      </c>
      <c r="D2230" s="78">
        <v>40.669998</v>
      </c>
    </row>
    <row r="2231" spans="2:4">
      <c r="B2231" s="76">
        <v>44083</v>
      </c>
      <c r="C2231" s="77">
        <v>30.92</v>
      </c>
      <c r="D2231" s="78">
        <v>41.470001000000003</v>
      </c>
    </row>
    <row r="2232" spans="2:4">
      <c r="B2232" s="76">
        <v>44084</v>
      </c>
      <c r="C2232" s="77">
        <v>31.219999000000001</v>
      </c>
      <c r="D2232" s="78">
        <v>40.740001999999997</v>
      </c>
    </row>
    <row r="2233" spans="2:4">
      <c r="B2233" s="76">
        <v>44085</v>
      </c>
      <c r="C2233" s="77">
        <v>31.9</v>
      </c>
      <c r="D2233" s="78">
        <v>40.75</v>
      </c>
    </row>
    <row r="2234" spans="2:4">
      <c r="B2234" s="76">
        <v>44088</v>
      </c>
      <c r="C2234" s="77">
        <v>32.849997999999999</v>
      </c>
      <c r="D2234" s="78">
        <v>41.330002</v>
      </c>
    </row>
    <row r="2235" spans="2:4">
      <c r="B2235" s="76">
        <v>44089</v>
      </c>
      <c r="C2235" s="77">
        <v>32.580002</v>
      </c>
      <c r="D2235" s="78">
        <v>41.529998999999997</v>
      </c>
    </row>
    <row r="2236" spans="2:4">
      <c r="B2236" s="76">
        <v>44090</v>
      </c>
      <c r="C2236" s="77">
        <v>33.169998</v>
      </c>
      <c r="D2236" s="78">
        <v>41.389999000000003</v>
      </c>
    </row>
    <row r="2237" spans="2:4">
      <c r="B2237" s="76">
        <v>44091</v>
      </c>
      <c r="C2237" s="77">
        <v>32.279998999999997</v>
      </c>
      <c r="D2237" s="78">
        <v>41.040000999999997</v>
      </c>
    </row>
    <row r="2238" spans="2:4">
      <c r="B2238" s="76">
        <v>44092</v>
      </c>
      <c r="C2238" s="77">
        <v>31.709999</v>
      </c>
      <c r="D2238" s="78">
        <v>40.580002</v>
      </c>
    </row>
    <row r="2239" spans="2:4">
      <c r="B2239" s="76">
        <v>44095</v>
      </c>
      <c r="C2239" s="77">
        <v>30.049999</v>
      </c>
      <c r="D2239" s="78">
        <v>39.900002000000001</v>
      </c>
    </row>
    <row r="2240" spans="2:4">
      <c r="B2240" s="76">
        <v>44096</v>
      </c>
      <c r="C2240" s="77">
        <v>30.83</v>
      </c>
      <c r="D2240" s="78">
        <v>40.330002</v>
      </c>
    </row>
    <row r="2241" spans="2:4">
      <c r="B2241" s="76">
        <v>44097</v>
      </c>
      <c r="C2241" s="77">
        <v>29.6</v>
      </c>
      <c r="D2241" s="78">
        <v>39.389999000000003</v>
      </c>
    </row>
    <row r="2242" spans="2:4">
      <c r="B2242" s="76">
        <v>44098</v>
      </c>
      <c r="C2242" s="77">
        <v>30.030000999999999</v>
      </c>
      <c r="D2242" s="78">
        <v>39.490001999999997</v>
      </c>
    </row>
    <row r="2243" spans="2:4">
      <c r="B2243" s="76">
        <v>44099</v>
      </c>
      <c r="C2243" s="77">
        <v>30.59</v>
      </c>
      <c r="D2243" s="78">
        <v>40.110000999999997</v>
      </c>
    </row>
    <row r="2244" spans="2:4">
      <c r="B2244" s="76">
        <v>44102</v>
      </c>
      <c r="C2244" s="77">
        <v>32.299999</v>
      </c>
      <c r="D2244" s="78">
        <v>40.810001</v>
      </c>
    </row>
    <row r="2245" spans="2:4">
      <c r="B2245" s="76">
        <v>44103</v>
      </c>
      <c r="C2245" s="77">
        <v>32</v>
      </c>
      <c r="D2245" s="78">
        <v>40.590000000000003</v>
      </c>
    </row>
    <row r="2246" spans="2:4">
      <c r="B2246" s="76">
        <v>44104</v>
      </c>
      <c r="C2246" s="77">
        <v>32.619999</v>
      </c>
      <c r="D2246" s="78">
        <v>40.889999000000003</v>
      </c>
    </row>
    <row r="2247" spans="2:4">
      <c r="B2247" s="76">
        <v>44105</v>
      </c>
      <c r="C2247" s="77">
        <v>33.159999999999997</v>
      </c>
      <c r="D2247" s="78">
        <v>41.169998</v>
      </c>
    </row>
    <row r="2248" spans="2:4">
      <c r="B2248" s="76">
        <v>44106</v>
      </c>
      <c r="C2248" s="77">
        <v>33.689999</v>
      </c>
      <c r="D2248" s="78">
        <v>40.840000000000003</v>
      </c>
    </row>
    <row r="2249" spans="2:4">
      <c r="B2249" s="76">
        <v>44109</v>
      </c>
      <c r="C2249" s="77">
        <v>33.389999000000003</v>
      </c>
      <c r="D2249" s="78">
        <v>41.59</v>
      </c>
    </row>
    <row r="2250" spans="2:4">
      <c r="B2250" s="76">
        <v>44110</v>
      </c>
      <c r="C2250" s="77">
        <v>33.419998</v>
      </c>
      <c r="D2250" s="78">
        <v>41.040000999999997</v>
      </c>
    </row>
    <row r="2251" spans="2:4">
      <c r="B2251" s="76">
        <v>44111</v>
      </c>
      <c r="C2251" s="77">
        <v>33.840000000000003</v>
      </c>
      <c r="D2251" s="78">
        <v>41.73</v>
      </c>
    </row>
    <row r="2252" spans="2:4">
      <c r="B2252" s="76">
        <v>44112</v>
      </c>
      <c r="C2252" s="77">
        <v>33.869999</v>
      </c>
      <c r="D2252" s="78">
        <v>42.110000999999997</v>
      </c>
    </row>
    <row r="2253" spans="2:4">
      <c r="B2253" s="76">
        <v>44113</v>
      </c>
      <c r="C2253" s="77">
        <v>34</v>
      </c>
      <c r="D2253" s="78">
        <v>42.439999</v>
      </c>
    </row>
    <row r="2254" spans="2:4">
      <c r="B2254" s="76">
        <v>44116</v>
      </c>
      <c r="C2254" s="77">
        <v>34.540000999999997</v>
      </c>
      <c r="D2254" s="78">
        <v>43.099997999999999</v>
      </c>
    </row>
    <row r="2255" spans="2:4">
      <c r="B2255" s="76">
        <v>44117</v>
      </c>
      <c r="C2255" s="77">
        <v>34.18</v>
      </c>
      <c r="D2255" s="78">
        <v>42.84</v>
      </c>
    </row>
    <row r="2256" spans="2:4">
      <c r="B2256" s="76">
        <v>44118</v>
      </c>
      <c r="C2256" s="77">
        <v>33.909999999999997</v>
      </c>
      <c r="D2256" s="78">
        <v>42.549999</v>
      </c>
    </row>
    <row r="2257" spans="2:4">
      <c r="B2257" s="76">
        <v>44119</v>
      </c>
      <c r="C2257" s="77">
        <v>34.18</v>
      </c>
      <c r="D2257" s="78">
        <v>42.529998999999997</v>
      </c>
    </row>
    <row r="2258" spans="2:4">
      <c r="B2258" s="76">
        <v>44120</v>
      </c>
      <c r="C2258" s="77">
        <v>33.5</v>
      </c>
      <c r="D2258" s="78">
        <v>42.5</v>
      </c>
    </row>
    <row r="2259" spans="2:4">
      <c r="B2259" s="76">
        <v>44123</v>
      </c>
      <c r="C2259" s="77">
        <v>32.68</v>
      </c>
      <c r="D2259" s="78">
        <v>41.849997999999999</v>
      </c>
    </row>
    <row r="2260" spans="2:4">
      <c r="B2260" s="76">
        <v>44124</v>
      </c>
      <c r="C2260" s="77">
        <v>33.669998</v>
      </c>
      <c r="D2260" s="78">
        <v>42.040000999999997</v>
      </c>
    </row>
    <row r="2261" spans="2:4">
      <c r="B2261" s="76">
        <v>44125</v>
      </c>
      <c r="C2261" s="77">
        <v>32.549999</v>
      </c>
      <c r="D2261" s="78">
        <v>41.959999000000003</v>
      </c>
    </row>
    <row r="2262" spans="2:4">
      <c r="B2262" s="76">
        <v>44126</v>
      </c>
      <c r="C2262" s="77">
        <v>32.25</v>
      </c>
      <c r="D2262" s="78">
        <v>42.200001</v>
      </c>
    </row>
    <row r="2263" spans="2:4">
      <c r="B2263" s="76">
        <v>44127</v>
      </c>
      <c r="C2263" s="77">
        <v>32.659999999999997</v>
      </c>
      <c r="D2263" s="78">
        <v>42.349997999999999</v>
      </c>
    </row>
    <row r="2264" spans="2:4">
      <c r="B2264" s="76">
        <v>44130</v>
      </c>
      <c r="C2264" s="77">
        <v>31.690000999999999</v>
      </c>
      <c r="D2264" s="78">
        <v>41.57</v>
      </c>
    </row>
    <row r="2265" spans="2:4">
      <c r="B2265" s="76">
        <v>44131</v>
      </c>
      <c r="C2265" s="77">
        <v>31.35</v>
      </c>
      <c r="D2265" s="78">
        <v>41.41</v>
      </c>
    </row>
    <row r="2266" spans="2:4">
      <c r="B2266" s="76">
        <v>44132</v>
      </c>
      <c r="C2266" s="77">
        <v>30.51</v>
      </c>
      <c r="D2266" s="78">
        <v>39.990001999999997</v>
      </c>
    </row>
    <row r="2267" spans="2:4">
      <c r="B2267" s="76">
        <v>44133</v>
      </c>
      <c r="C2267" s="77">
        <v>30.01</v>
      </c>
      <c r="D2267" s="78">
        <v>40.439999</v>
      </c>
    </row>
    <row r="2268" spans="2:4">
      <c r="B2268" s="76">
        <v>44134</v>
      </c>
      <c r="C2268" s="77">
        <v>30.299999</v>
      </c>
      <c r="D2268" s="78">
        <v>39.959999000000003</v>
      </c>
    </row>
    <row r="2269" spans="2:4">
      <c r="B2269" s="76">
        <v>44137</v>
      </c>
      <c r="C2269" s="77">
        <v>32.669998</v>
      </c>
      <c r="D2269" s="78">
        <v>40.470001000000003</v>
      </c>
    </row>
    <row r="2270" spans="2:4">
      <c r="B2270" s="76">
        <v>44138</v>
      </c>
      <c r="C2270" s="77">
        <v>32.68</v>
      </c>
      <c r="D2270" s="78">
        <v>41.189999</v>
      </c>
    </row>
    <row r="2271" spans="2:4">
      <c r="B2271" s="76">
        <v>44139</v>
      </c>
      <c r="C2271" s="77">
        <v>34.099997999999999</v>
      </c>
      <c r="D2271" s="78">
        <v>42.07</v>
      </c>
    </row>
    <row r="2272" spans="2:4">
      <c r="B2272" s="76">
        <v>44140</v>
      </c>
      <c r="C2272" s="77">
        <v>34.650002000000001</v>
      </c>
      <c r="D2272" s="78">
        <v>42.93</v>
      </c>
    </row>
    <row r="2273" spans="2:4">
      <c r="B2273" s="76">
        <v>44141</v>
      </c>
      <c r="C2273" s="77">
        <v>34.090000000000003</v>
      </c>
      <c r="D2273" s="78">
        <v>42.869999</v>
      </c>
    </row>
    <row r="2274" spans="2:4">
      <c r="B2274" s="76">
        <v>44144</v>
      </c>
      <c r="C2274" s="77">
        <v>32.209999000000003</v>
      </c>
      <c r="D2274" s="78">
        <v>43.5</v>
      </c>
    </row>
    <row r="2275" spans="2:4">
      <c r="B2275" s="76">
        <v>44145</v>
      </c>
      <c r="C2275" s="77">
        <v>33.799999</v>
      </c>
      <c r="D2275" s="78">
        <v>43.5</v>
      </c>
    </row>
    <row r="2276" spans="2:4">
      <c r="B2276" s="76">
        <v>44146</v>
      </c>
      <c r="C2276" s="77">
        <v>34.380001</v>
      </c>
      <c r="D2276" s="78">
        <v>43.779998999999997</v>
      </c>
    </row>
    <row r="2277" spans="2:4">
      <c r="B2277" s="76">
        <v>44147</v>
      </c>
      <c r="C2277" s="77">
        <v>33.830002</v>
      </c>
      <c r="D2277" s="78">
        <v>43.34</v>
      </c>
    </row>
    <row r="2278" spans="2:4">
      <c r="B2278" s="76">
        <v>44148</v>
      </c>
      <c r="C2278" s="77">
        <v>34.840000000000003</v>
      </c>
      <c r="D2278" s="78">
        <v>43.959999000000003</v>
      </c>
    </row>
    <row r="2279" spans="2:4">
      <c r="B2279" s="76">
        <v>44151</v>
      </c>
      <c r="C2279" s="77">
        <v>35.860000999999997</v>
      </c>
      <c r="D2279" s="78">
        <v>44.540000999999997</v>
      </c>
    </row>
    <row r="2280" spans="2:4">
      <c r="B2280" s="76">
        <v>44152</v>
      </c>
      <c r="C2280" s="77">
        <v>35.810001</v>
      </c>
      <c r="D2280" s="78">
        <v>44.32</v>
      </c>
    </row>
    <row r="2281" spans="2:4">
      <c r="B2281" s="76">
        <v>44153</v>
      </c>
      <c r="C2281" s="77">
        <v>36.049999</v>
      </c>
      <c r="D2281" s="78">
        <v>43.82</v>
      </c>
    </row>
    <row r="2282" spans="2:4">
      <c r="B2282" s="76">
        <v>44154</v>
      </c>
      <c r="C2282" s="77">
        <v>36.740001999999997</v>
      </c>
      <c r="D2282" s="78">
        <v>43.990001999999997</v>
      </c>
    </row>
    <row r="2283" spans="2:4">
      <c r="B2283" s="76">
        <v>44155</v>
      </c>
      <c r="C2283" s="77">
        <v>35.759998000000003</v>
      </c>
      <c r="D2283" s="78">
        <v>43.73</v>
      </c>
    </row>
    <row r="2284" spans="2:4">
      <c r="B2284" s="76">
        <v>44158</v>
      </c>
      <c r="C2284" s="77">
        <v>36.779998999999997</v>
      </c>
      <c r="D2284" s="78">
        <v>44</v>
      </c>
    </row>
    <row r="2285" spans="2:4">
      <c r="B2285" s="76">
        <v>44159</v>
      </c>
      <c r="C2285" s="77">
        <v>37.090000000000003</v>
      </c>
      <c r="D2285" s="78">
        <v>44.720001000000003</v>
      </c>
    </row>
    <row r="2286" spans="2:4">
      <c r="B2286" s="76">
        <v>44160</v>
      </c>
      <c r="C2286" s="77">
        <v>37.330002</v>
      </c>
      <c r="D2286" s="78">
        <v>44.639999000000003</v>
      </c>
    </row>
    <row r="2287" spans="2:4">
      <c r="B2287" s="76">
        <v>44162</v>
      </c>
      <c r="C2287" s="77">
        <v>37.93</v>
      </c>
      <c r="D2287" s="78">
        <v>44.779998999999997</v>
      </c>
    </row>
    <row r="2288" spans="2:4">
      <c r="B2288" s="76">
        <v>44165</v>
      </c>
      <c r="C2288" s="77">
        <v>37.409999999999997</v>
      </c>
      <c r="D2288" s="78">
        <v>44.509998000000003</v>
      </c>
    </row>
    <row r="2289" spans="2:4">
      <c r="B2289" s="76">
        <v>44166</v>
      </c>
      <c r="C2289" s="77">
        <v>35.93</v>
      </c>
      <c r="D2289" s="78">
        <v>45.009998000000003</v>
      </c>
    </row>
    <row r="2290" spans="2:4">
      <c r="B2290" s="76">
        <v>44167</v>
      </c>
      <c r="C2290" s="77">
        <v>35.229999999999997</v>
      </c>
      <c r="D2290" s="78">
        <v>45.099997999999999</v>
      </c>
    </row>
    <row r="2291" spans="2:4">
      <c r="B2291" s="76">
        <v>44168</v>
      </c>
      <c r="C2291" s="77">
        <v>35.93</v>
      </c>
      <c r="D2291" s="78">
        <v>45.130001</v>
      </c>
    </row>
    <row r="2292" spans="2:4">
      <c r="B2292" s="76">
        <v>44169</v>
      </c>
      <c r="C2292" s="77">
        <v>35.299999</v>
      </c>
      <c r="D2292" s="78">
        <v>45.560001</v>
      </c>
    </row>
    <row r="2293" spans="2:4">
      <c r="B2293" s="76">
        <v>44172</v>
      </c>
      <c r="C2293" s="77">
        <v>37</v>
      </c>
      <c r="D2293" s="78">
        <v>45.470001000000003</v>
      </c>
    </row>
    <row r="2294" spans="2:4">
      <c r="B2294" s="76">
        <v>44173</v>
      </c>
      <c r="C2294" s="77">
        <v>35.299999</v>
      </c>
      <c r="D2294" s="78">
        <v>45.599997999999999</v>
      </c>
    </row>
    <row r="2295" spans="2:4">
      <c r="B2295" s="76">
        <v>44174</v>
      </c>
      <c r="C2295" s="77">
        <v>35.479999999999997</v>
      </c>
      <c r="D2295" s="78">
        <v>45.200001</v>
      </c>
    </row>
    <row r="2296" spans="2:4">
      <c r="B2296" s="76">
        <v>44175</v>
      </c>
      <c r="C2296" s="77">
        <v>36.029998999999997</v>
      </c>
      <c r="D2296" s="78">
        <v>45.209999000000003</v>
      </c>
    </row>
    <row r="2297" spans="2:4">
      <c r="B2297" s="76">
        <v>44176</v>
      </c>
      <c r="C2297" s="77">
        <v>35.770000000000003</v>
      </c>
      <c r="D2297" s="78">
        <v>45.119999</v>
      </c>
    </row>
    <row r="2298" spans="2:4">
      <c r="B2298" s="76">
        <v>44179</v>
      </c>
      <c r="C2298" s="77">
        <v>35.439999</v>
      </c>
      <c r="D2298" s="78">
        <v>44.919998</v>
      </c>
    </row>
    <row r="2299" spans="2:4">
      <c r="B2299" s="76">
        <v>44180</v>
      </c>
      <c r="C2299" s="77">
        <v>36.400002000000001</v>
      </c>
      <c r="D2299" s="78">
        <v>45.59</v>
      </c>
    </row>
    <row r="2300" spans="2:4">
      <c r="B2300" s="76">
        <v>44181</v>
      </c>
      <c r="C2300" s="77">
        <v>35.779998999999997</v>
      </c>
      <c r="D2300" s="78">
        <v>45.650002000000001</v>
      </c>
    </row>
    <row r="2301" spans="2:4">
      <c r="B2301" s="76">
        <v>44182</v>
      </c>
      <c r="C2301" s="77">
        <v>38.169998</v>
      </c>
      <c r="D2301" s="78">
        <v>45.900002000000001</v>
      </c>
    </row>
    <row r="2302" spans="2:4">
      <c r="B2302" s="76">
        <v>44183</v>
      </c>
      <c r="C2302" s="77">
        <v>39.439999</v>
      </c>
      <c r="D2302" s="78">
        <v>45.779998999999997</v>
      </c>
    </row>
    <row r="2303" spans="2:4">
      <c r="B2303" s="76">
        <v>44186</v>
      </c>
      <c r="C2303" s="77">
        <v>40.729999999999997</v>
      </c>
      <c r="D2303" s="78">
        <v>45.380001</v>
      </c>
    </row>
    <row r="2304" spans="2:4">
      <c r="B2304" s="76">
        <v>44187</v>
      </c>
      <c r="C2304" s="77">
        <v>41.049999</v>
      </c>
      <c r="D2304" s="78">
        <v>45.279998999999997</v>
      </c>
    </row>
    <row r="2305" spans="2:4">
      <c r="B2305" s="76">
        <v>44188</v>
      </c>
      <c r="C2305" s="77">
        <v>41.560001</v>
      </c>
      <c r="D2305" s="78">
        <v>45.389999000000003</v>
      </c>
    </row>
    <row r="2306" spans="2:4">
      <c r="B2306" s="76">
        <v>44189</v>
      </c>
      <c r="C2306" s="77">
        <v>42.27</v>
      </c>
      <c r="D2306" s="78">
        <v>45.549999</v>
      </c>
    </row>
    <row r="2307" spans="2:4">
      <c r="B2307" s="76">
        <v>44193</v>
      </c>
      <c r="C2307" s="77">
        <v>41.919998</v>
      </c>
      <c r="D2307" s="78">
        <v>45.900002000000001</v>
      </c>
    </row>
    <row r="2308" spans="2:4">
      <c r="B2308" s="76">
        <v>44194</v>
      </c>
      <c r="C2308" s="77">
        <v>41.91</v>
      </c>
      <c r="D2308" s="78">
        <v>45.77</v>
      </c>
    </row>
    <row r="2309" spans="2:4">
      <c r="B2309" s="76">
        <v>44195</v>
      </c>
      <c r="C2309" s="77">
        <v>42.279998999999997</v>
      </c>
      <c r="D2309" s="78">
        <v>45.880001</v>
      </c>
    </row>
    <row r="2310" spans="2:4">
      <c r="B2310" s="76">
        <v>44196</v>
      </c>
      <c r="C2310" s="77">
        <v>40.810001</v>
      </c>
      <c r="D2310" s="78">
        <v>46.09</v>
      </c>
    </row>
    <row r="2311" spans="2:4">
      <c r="B2311" s="76">
        <v>44200</v>
      </c>
      <c r="C2311" s="77">
        <v>39.830002</v>
      </c>
      <c r="D2311" s="78">
        <v>45.48</v>
      </c>
    </row>
    <row r="2312" spans="2:4">
      <c r="B2312" s="76">
        <v>44201</v>
      </c>
      <c r="C2312" s="77">
        <v>39.700001</v>
      </c>
      <c r="D2312" s="78">
        <v>45.790000999999997</v>
      </c>
    </row>
    <row r="2313" spans="2:4">
      <c r="B2313" s="76">
        <v>44202</v>
      </c>
      <c r="C2313" s="77">
        <v>40.939999</v>
      </c>
      <c r="D2313" s="78">
        <v>46.200001</v>
      </c>
    </row>
    <row r="2314" spans="2:4">
      <c r="B2314" s="76">
        <v>44203</v>
      </c>
      <c r="C2314" s="77">
        <v>42.389999000000003</v>
      </c>
      <c r="D2314" s="78">
        <v>46.869999</v>
      </c>
    </row>
    <row r="2315" spans="2:4">
      <c r="B2315" s="76">
        <v>44204</v>
      </c>
      <c r="C2315" s="77">
        <v>40.169998</v>
      </c>
      <c r="D2315" s="78">
        <v>47.099997999999999</v>
      </c>
    </row>
    <row r="2316" spans="2:4">
      <c r="B2316" s="76">
        <v>44207</v>
      </c>
      <c r="C2316" s="77">
        <v>39.630001</v>
      </c>
      <c r="D2316" s="78">
        <v>46.869999</v>
      </c>
    </row>
    <row r="2317" spans="2:4">
      <c r="B2317" s="76">
        <v>44208</v>
      </c>
      <c r="C2317" s="77">
        <v>39.5</v>
      </c>
      <c r="D2317" s="78">
        <v>46.91</v>
      </c>
    </row>
    <row r="2318" spans="2:4">
      <c r="B2318" s="76">
        <v>44209</v>
      </c>
      <c r="C2318" s="77">
        <v>38.599997999999999</v>
      </c>
      <c r="D2318" s="78">
        <v>47</v>
      </c>
    </row>
    <row r="2319" spans="2:4">
      <c r="B2319" s="76">
        <v>44210</v>
      </c>
      <c r="C2319" s="77">
        <v>40.25</v>
      </c>
      <c r="D2319" s="78">
        <v>46.880001</v>
      </c>
    </row>
    <row r="2320" spans="2:4">
      <c r="B2320" s="76">
        <v>44211</v>
      </c>
      <c r="C2320" s="77">
        <v>40.869999</v>
      </c>
      <c r="D2320" s="78">
        <v>46.529998999999997</v>
      </c>
    </row>
    <row r="2321" spans="2:4">
      <c r="B2321" s="76">
        <v>44215</v>
      </c>
      <c r="C2321" s="77">
        <v>40.400002000000001</v>
      </c>
      <c r="D2321" s="78">
        <v>46.869999</v>
      </c>
    </row>
    <row r="2322" spans="2:4">
      <c r="B2322" s="76">
        <v>44216</v>
      </c>
      <c r="C2322" s="77">
        <v>41.470001000000003</v>
      </c>
      <c r="D2322" s="78">
        <v>47.5</v>
      </c>
    </row>
    <row r="2323" spans="2:4">
      <c r="B2323" s="76">
        <v>44217</v>
      </c>
      <c r="C2323" s="77">
        <v>42.599997999999999</v>
      </c>
      <c r="D2323" s="78">
        <v>47.529998999999997</v>
      </c>
    </row>
    <row r="2324" spans="2:4">
      <c r="B2324" s="76">
        <v>44218</v>
      </c>
      <c r="C2324" s="77">
        <v>42.880001</v>
      </c>
      <c r="D2324" s="78">
        <v>47.419998</v>
      </c>
    </row>
    <row r="2325" spans="2:4">
      <c r="B2325" s="76">
        <v>44221</v>
      </c>
      <c r="C2325" s="77">
        <v>41.93</v>
      </c>
      <c r="D2325" s="78">
        <v>47.57</v>
      </c>
    </row>
    <row r="2326" spans="2:4">
      <c r="B2326" s="76">
        <v>44222</v>
      </c>
      <c r="C2326" s="77">
        <v>40.360000999999997</v>
      </c>
      <c r="D2326" s="78">
        <v>47.459999000000003</v>
      </c>
    </row>
    <row r="2327" spans="2:4">
      <c r="B2327" s="76">
        <v>44223</v>
      </c>
      <c r="C2327" s="77">
        <v>37.939999</v>
      </c>
      <c r="D2327" s="78">
        <v>46.360000999999997</v>
      </c>
    </row>
    <row r="2328" spans="2:4">
      <c r="B2328" s="76">
        <v>44224</v>
      </c>
      <c r="C2328" s="77">
        <v>38.889999000000003</v>
      </c>
      <c r="D2328" s="78">
        <v>46.669998</v>
      </c>
    </row>
    <row r="2329" spans="2:4">
      <c r="B2329" s="76">
        <v>44225</v>
      </c>
      <c r="C2329" s="77">
        <v>38.25</v>
      </c>
      <c r="D2329" s="78">
        <v>45.77</v>
      </c>
    </row>
    <row r="2330" spans="2:4">
      <c r="B2330" s="76">
        <v>44228</v>
      </c>
      <c r="C2330" s="77">
        <v>39.419998</v>
      </c>
      <c r="D2330" s="78">
        <v>46.560001</v>
      </c>
    </row>
    <row r="2331" spans="2:4">
      <c r="B2331" s="76">
        <v>44229</v>
      </c>
      <c r="C2331" s="77">
        <v>39.959999000000003</v>
      </c>
      <c r="D2331" s="78">
        <v>47.189999</v>
      </c>
    </row>
    <row r="2332" spans="2:4">
      <c r="B2332" s="76">
        <v>44230</v>
      </c>
      <c r="C2332" s="77">
        <v>40.369999</v>
      </c>
      <c r="D2332" s="78">
        <v>47.25</v>
      </c>
    </row>
    <row r="2333" spans="2:4">
      <c r="B2333" s="76">
        <v>44231</v>
      </c>
      <c r="C2333" s="77">
        <v>41.549999</v>
      </c>
      <c r="D2333" s="78">
        <v>47.790000999999997</v>
      </c>
    </row>
    <row r="2334" spans="2:4">
      <c r="B2334" s="76">
        <v>44232</v>
      </c>
      <c r="C2334" s="77">
        <v>42.59</v>
      </c>
      <c r="D2334" s="78">
        <v>48.009998000000003</v>
      </c>
    </row>
    <row r="2335" spans="2:4">
      <c r="B2335" s="76">
        <v>44235</v>
      </c>
      <c r="C2335" s="77">
        <v>43.41</v>
      </c>
      <c r="D2335" s="78">
        <v>48.400002000000001</v>
      </c>
    </row>
    <row r="2336" spans="2:4">
      <c r="B2336" s="76">
        <v>44236</v>
      </c>
      <c r="C2336" s="77">
        <v>43.490001999999997</v>
      </c>
      <c r="D2336" s="78">
        <v>48.389999000000003</v>
      </c>
    </row>
    <row r="2337" spans="2:4">
      <c r="B2337" s="76">
        <v>44237</v>
      </c>
      <c r="C2337" s="77">
        <v>42.689999</v>
      </c>
      <c r="D2337" s="78">
        <v>48.34</v>
      </c>
    </row>
    <row r="2338" spans="2:4">
      <c r="B2338" s="76">
        <v>44238</v>
      </c>
      <c r="C2338" s="77">
        <v>43.419998</v>
      </c>
      <c r="D2338" s="78">
        <v>48.470001000000003</v>
      </c>
    </row>
    <row r="2339" spans="2:4">
      <c r="B2339" s="76">
        <v>44239</v>
      </c>
      <c r="C2339" s="77">
        <v>43.419998</v>
      </c>
      <c r="D2339" s="78">
        <v>48.700001</v>
      </c>
    </row>
    <row r="2340" spans="2:4">
      <c r="B2340" s="76">
        <v>44243</v>
      </c>
      <c r="C2340" s="77">
        <v>41.709999000000003</v>
      </c>
      <c r="D2340" s="78">
        <v>48.66</v>
      </c>
    </row>
    <row r="2341" spans="2:4">
      <c r="B2341" s="76">
        <v>44244</v>
      </c>
      <c r="C2341" s="77">
        <v>41.220001000000003</v>
      </c>
      <c r="D2341" s="78">
        <v>48.650002000000001</v>
      </c>
    </row>
    <row r="2342" spans="2:4">
      <c r="B2342" s="76">
        <v>44245</v>
      </c>
      <c r="C2342" s="77">
        <v>40.049999</v>
      </c>
      <c r="D2342" s="78">
        <v>48.369999</v>
      </c>
    </row>
    <row r="2343" spans="2:4">
      <c r="B2343" s="76">
        <v>44246</v>
      </c>
      <c r="C2343" s="77">
        <v>40.909999999999997</v>
      </c>
      <c r="D2343" s="78">
        <v>48.349997999999999</v>
      </c>
    </row>
    <row r="2344" spans="2:4">
      <c r="B2344" s="76">
        <v>44249</v>
      </c>
      <c r="C2344" s="77">
        <v>41.380001</v>
      </c>
      <c r="D2344" s="78">
        <v>48.049999</v>
      </c>
    </row>
    <row r="2345" spans="2:4">
      <c r="B2345" s="76">
        <v>44250</v>
      </c>
      <c r="C2345" s="77">
        <v>41.73</v>
      </c>
      <c r="D2345" s="78">
        <v>48.07</v>
      </c>
    </row>
    <row r="2346" spans="2:4">
      <c r="B2346" s="76">
        <v>44251</v>
      </c>
      <c r="C2346" s="77">
        <v>42.400002000000001</v>
      </c>
      <c r="D2346" s="78">
        <v>48.669998</v>
      </c>
    </row>
    <row r="2347" spans="2:4">
      <c r="B2347" s="76">
        <v>44252</v>
      </c>
      <c r="C2347" s="77">
        <v>40.610000999999997</v>
      </c>
      <c r="D2347" s="78">
        <v>47.470001000000003</v>
      </c>
    </row>
    <row r="2348" spans="2:4">
      <c r="B2348" s="76">
        <v>44253</v>
      </c>
      <c r="C2348" s="77">
        <v>43.27</v>
      </c>
      <c r="D2348" s="78">
        <v>47.25</v>
      </c>
    </row>
    <row r="2349" spans="2:4">
      <c r="B2349" s="76">
        <v>44256</v>
      </c>
      <c r="C2349" s="77">
        <v>44.84</v>
      </c>
      <c r="D2349" s="78">
        <v>48.349997999999999</v>
      </c>
    </row>
    <row r="2350" spans="2:4">
      <c r="B2350" s="76">
        <v>44257</v>
      </c>
      <c r="C2350" s="77">
        <v>43.709999000000003</v>
      </c>
      <c r="D2350" s="78">
        <v>47.959999000000003</v>
      </c>
    </row>
    <row r="2351" spans="2:4">
      <c r="B2351" s="76">
        <v>44258</v>
      </c>
      <c r="C2351" s="77">
        <v>43.25</v>
      </c>
      <c r="D2351" s="78">
        <v>47.389999000000003</v>
      </c>
    </row>
    <row r="2352" spans="2:4">
      <c r="B2352" s="76">
        <v>44259</v>
      </c>
      <c r="C2352" s="77">
        <v>42.32</v>
      </c>
      <c r="D2352" s="78">
        <v>46.720001000000003</v>
      </c>
    </row>
    <row r="2353" spans="2:4">
      <c r="B2353" s="76">
        <v>44260</v>
      </c>
      <c r="C2353" s="77">
        <v>43.52</v>
      </c>
      <c r="D2353" s="78">
        <v>47.66</v>
      </c>
    </row>
    <row r="2354" spans="2:4">
      <c r="B2354" s="76">
        <v>44263</v>
      </c>
      <c r="C2354" s="77">
        <v>44.330002</v>
      </c>
      <c r="D2354" s="78">
        <v>47.48</v>
      </c>
    </row>
    <row r="2355" spans="2:4">
      <c r="B2355" s="76">
        <v>44264</v>
      </c>
      <c r="C2355" s="77">
        <v>44.82</v>
      </c>
      <c r="D2355" s="78">
        <v>48.110000999999997</v>
      </c>
    </row>
    <row r="2356" spans="2:4">
      <c r="B2356" s="76">
        <v>44265</v>
      </c>
      <c r="C2356" s="77">
        <v>47.080002</v>
      </c>
      <c r="D2356" s="78">
        <v>48.450001</v>
      </c>
    </row>
    <row r="2357" spans="2:4">
      <c r="B2357" s="76">
        <v>44266</v>
      </c>
      <c r="C2357" s="77">
        <v>47.049999</v>
      </c>
      <c r="D2357" s="78">
        <v>48.98</v>
      </c>
    </row>
    <row r="2358" spans="2:4">
      <c r="B2358" s="76">
        <v>44267</v>
      </c>
      <c r="C2358" s="77">
        <v>46.740001999999997</v>
      </c>
      <c r="D2358" s="78">
        <v>49.049999</v>
      </c>
    </row>
    <row r="2359" spans="2:4">
      <c r="B2359" s="76">
        <v>44270</v>
      </c>
      <c r="C2359" s="77">
        <v>47.029998999999997</v>
      </c>
      <c r="D2359" s="78">
        <v>49.400002000000001</v>
      </c>
    </row>
    <row r="2360" spans="2:4">
      <c r="B2360" s="76">
        <v>44271</v>
      </c>
      <c r="C2360" s="77">
        <v>45.799999</v>
      </c>
      <c r="D2360" s="78">
        <v>49.279998999999997</v>
      </c>
    </row>
    <row r="2361" spans="2:4">
      <c r="B2361" s="76">
        <v>44272</v>
      </c>
      <c r="C2361" s="77">
        <v>47.5</v>
      </c>
      <c r="D2361" s="78">
        <v>49.439999</v>
      </c>
    </row>
    <row r="2362" spans="2:4">
      <c r="B2362" s="76">
        <v>44273</v>
      </c>
      <c r="C2362" s="77">
        <v>45.68</v>
      </c>
      <c r="D2362" s="78">
        <v>48.700001</v>
      </c>
    </row>
    <row r="2363" spans="2:4">
      <c r="B2363" s="76">
        <v>44274</v>
      </c>
      <c r="C2363" s="77">
        <v>45.900002000000001</v>
      </c>
      <c r="D2363" s="78">
        <v>48.630001</v>
      </c>
    </row>
    <row r="2364" spans="2:4">
      <c r="B2364" s="76">
        <v>44277</v>
      </c>
      <c r="C2364" s="77">
        <v>44.869999</v>
      </c>
      <c r="D2364" s="78">
        <v>48.740001999999997</v>
      </c>
    </row>
    <row r="2365" spans="2:4">
      <c r="B2365" s="76">
        <v>44278</v>
      </c>
      <c r="C2365" s="77">
        <v>42.279998999999997</v>
      </c>
      <c r="D2365" s="78">
        <v>48.279998999999997</v>
      </c>
    </row>
    <row r="2366" spans="2:4">
      <c r="B2366" s="76">
        <v>44279</v>
      </c>
      <c r="C2366" s="77">
        <v>42.369999</v>
      </c>
      <c r="D2366" s="78">
        <v>48.049999</v>
      </c>
    </row>
    <row r="2367" spans="2:4">
      <c r="B2367" s="76">
        <v>44280</v>
      </c>
      <c r="C2367" s="77">
        <v>44.049999</v>
      </c>
      <c r="D2367" s="78">
        <v>48.380001</v>
      </c>
    </row>
    <row r="2368" spans="2:4">
      <c r="B2368" s="76">
        <v>44281</v>
      </c>
      <c r="C2368" s="77">
        <v>46.619999</v>
      </c>
      <c r="D2368" s="78">
        <v>49.189999</v>
      </c>
    </row>
    <row r="2369" spans="2:4">
      <c r="B2369" s="76">
        <v>44284</v>
      </c>
      <c r="C2369" s="77">
        <v>44.759998000000003</v>
      </c>
      <c r="D2369" s="78">
        <v>49.049999</v>
      </c>
    </row>
    <row r="2370" spans="2:4">
      <c r="B2370" s="76">
        <v>44285</v>
      </c>
      <c r="C2370" s="77">
        <v>45.91</v>
      </c>
      <c r="D2370" s="78">
        <v>48.990001999999997</v>
      </c>
    </row>
    <row r="2371" spans="2:4">
      <c r="B2371" s="76">
        <v>44286</v>
      </c>
      <c r="C2371" s="77">
        <v>46.369999</v>
      </c>
      <c r="D2371" s="78">
        <v>49.189999</v>
      </c>
    </row>
    <row r="2372" spans="2:4">
      <c r="B2372" s="76">
        <v>44287</v>
      </c>
      <c r="C2372" s="77">
        <v>47.369999</v>
      </c>
      <c r="D2372" s="78">
        <v>49.77</v>
      </c>
    </row>
    <row r="2373" spans="2:4">
      <c r="B2373" s="76">
        <v>44291</v>
      </c>
      <c r="C2373" s="77">
        <v>47.59</v>
      </c>
      <c r="D2373" s="78">
        <v>50.43</v>
      </c>
    </row>
    <row r="2374" spans="2:4">
      <c r="B2374" s="76">
        <v>44292</v>
      </c>
      <c r="C2374" s="77">
        <v>48.049999</v>
      </c>
      <c r="D2374" s="78">
        <v>50.369999</v>
      </c>
    </row>
    <row r="2375" spans="2:4">
      <c r="B2375" s="76">
        <v>44293</v>
      </c>
      <c r="C2375" s="77">
        <v>46.950001</v>
      </c>
      <c r="D2375" s="78">
        <v>50.43</v>
      </c>
    </row>
    <row r="2376" spans="2:4">
      <c r="B2376" s="76">
        <v>44294</v>
      </c>
      <c r="C2376" s="77">
        <v>47.34</v>
      </c>
      <c r="D2376" s="78">
        <v>50.619999</v>
      </c>
    </row>
    <row r="2377" spans="2:4">
      <c r="B2377" s="76">
        <v>44295</v>
      </c>
      <c r="C2377" s="77">
        <v>48.599997999999999</v>
      </c>
      <c r="D2377" s="78">
        <v>50.970001000000003</v>
      </c>
    </row>
    <row r="2378" spans="2:4">
      <c r="B2378" s="76">
        <v>44298</v>
      </c>
      <c r="C2378" s="77">
        <v>49.299999</v>
      </c>
      <c r="D2378" s="78">
        <v>51.040000999999997</v>
      </c>
    </row>
    <row r="2379" spans="2:4">
      <c r="B2379" s="76">
        <v>44299</v>
      </c>
      <c r="C2379" s="77">
        <v>48.32</v>
      </c>
      <c r="D2379" s="78">
        <v>51.130001</v>
      </c>
    </row>
    <row r="2380" spans="2:4">
      <c r="B2380" s="76">
        <v>44300</v>
      </c>
      <c r="C2380" s="77">
        <v>47.82</v>
      </c>
      <c r="D2380" s="78">
        <v>50.990001999999997</v>
      </c>
    </row>
    <row r="2381" spans="2:4">
      <c r="B2381" s="76">
        <v>44301</v>
      </c>
      <c r="C2381" s="77">
        <v>48.5</v>
      </c>
      <c r="D2381" s="78">
        <v>51.509998000000003</v>
      </c>
    </row>
    <row r="2382" spans="2:4">
      <c r="B2382" s="76">
        <v>44302</v>
      </c>
      <c r="C2382" s="77">
        <v>49.810001</v>
      </c>
      <c r="D2382" s="78">
        <v>51.75</v>
      </c>
    </row>
    <row r="2383" spans="2:4">
      <c r="B2383" s="76">
        <v>44305</v>
      </c>
      <c r="C2383" s="77">
        <v>49.810001</v>
      </c>
      <c r="D2383" s="78">
        <v>51.439999</v>
      </c>
    </row>
    <row r="2384" spans="2:4">
      <c r="B2384" s="76">
        <v>44306</v>
      </c>
      <c r="C2384" s="77">
        <v>47.709999000000003</v>
      </c>
      <c r="D2384" s="78">
        <v>51.07</v>
      </c>
    </row>
    <row r="2385" spans="2:4">
      <c r="B2385" s="76">
        <v>44307</v>
      </c>
      <c r="C2385" s="77">
        <v>48.169998</v>
      </c>
      <c r="D2385" s="78">
        <v>51.580002</v>
      </c>
    </row>
    <row r="2386" spans="2:4">
      <c r="B2386" s="76">
        <v>44308</v>
      </c>
      <c r="C2386" s="77">
        <v>47.759998000000003</v>
      </c>
      <c r="D2386" s="78">
        <v>51.150002000000001</v>
      </c>
    </row>
    <row r="2387" spans="2:4">
      <c r="B2387" s="76">
        <v>44309</v>
      </c>
      <c r="C2387" s="77">
        <v>48.77</v>
      </c>
      <c r="D2387" s="78">
        <v>51.709999000000003</v>
      </c>
    </row>
    <row r="2388" spans="2:4">
      <c r="B2388" s="76">
        <v>44312</v>
      </c>
      <c r="C2388" s="77">
        <v>49.599997999999999</v>
      </c>
      <c r="D2388" s="78">
        <v>51.830002</v>
      </c>
    </row>
    <row r="2389" spans="2:4">
      <c r="B2389" s="76">
        <v>44313</v>
      </c>
      <c r="C2389" s="77">
        <v>49.959999000000003</v>
      </c>
      <c r="D2389" s="78">
        <v>51.830002</v>
      </c>
    </row>
    <row r="2390" spans="2:4">
      <c r="B2390" s="76">
        <v>44314</v>
      </c>
      <c r="C2390" s="77">
        <v>49.049999</v>
      </c>
      <c r="D2390" s="78">
        <v>51.82</v>
      </c>
    </row>
    <row r="2391" spans="2:4">
      <c r="B2391" s="76">
        <v>44315</v>
      </c>
      <c r="C2391" s="77">
        <v>49.970001000000003</v>
      </c>
      <c r="D2391" s="78">
        <v>52.110000999999997</v>
      </c>
    </row>
    <row r="2392" spans="2:4">
      <c r="B2392" s="76">
        <v>44316</v>
      </c>
      <c r="C2392" s="77">
        <v>48.669998</v>
      </c>
      <c r="D2392" s="78">
        <v>51.66</v>
      </c>
    </row>
    <row r="2393" spans="2:4">
      <c r="B2393" s="76">
        <v>44319</v>
      </c>
      <c r="C2393" s="77">
        <v>49.299999</v>
      </c>
      <c r="D2393" s="78">
        <v>51.889999000000003</v>
      </c>
    </row>
    <row r="2394" spans="2:4">
      <c r="B2394" s="76">
        <v>44320</v>
      </c>
      <c r="C2394" s="77">
        <v>48.810001</v>
      </c>
      <c r="D2394" s="78">
        <v>51.549999</v>
      </c>
    </row>
    <row r="2395" spans="2:4">
      <c r="B2395" s="76">
        <v>44321</v>
      </c>
      <c r="C2395" s="77">
        <v>49.060001</v>
      </c>
      <c r="D2395" s="78">
        <v>51.580002</v>
      </c>
    </row>
    <row r="2396" spans="2:4">
      <c r="B2396" s="76">
        <v>44322</v>
      </c>
      <c r="C2396" s="77">
        <v>52</v>
      </c>
      <c r="D2396" s="78">
        <v>51.959999000000003</v>
      </c>
    </row>
    <row r="2397" spans="2:4">
      <c r="B2397" s="76">
        <v>44323</v>
      </c>
      <c r="C2397" s="77">
        <v>52.360000999999997</v>
      </c>
      <c r="D2397" s="78">
        <v>52.380001</v>
      </c>
    </row>
    <row r="2398" spans="2:4">
      <c r="B2398" s="76">
        <v>44326</v>
      </c>
      <c r="C2398" s="77">
        <v>52.299999</v>
      </c>
      <c r="D2398" s="78">
        <v>51.82</v>
      </c>
    </row>
    <row r="2399" spans="2:4">
      <c r="B2399" s="76">
        <v>44327</v>
      </c>
      <c r="C2399" s="77">
        <v>50.400002000000001</v>
      </c>
      <c r="D2399" s="78">
        <v>51.400002000000001</v>
      </c>
    </row>
    <row r="2400" spans="2:4">
      <c r="B2400" s="76">
        <v>44328</v>
      </c>
      <c r="C2400" s="77">
        <v>46.639999000000003</v>
      </c>
      <c r="D2400" s="78">
        <v>50.259998000000003</v>
      </c>
    </row>
    <row r="2401" spans="2:4">
      <c r="B2401" s="76">
        <v>44329</v>
      </c>
      <c r="C2401" s="77">
        <v>47.959999000000003</v>
      </c>
      <c r="D2401" s="78">
        <v>50.889999000000003</v>
      </c>
    </row>
    <row r="2402" spans="2:4">
      <c r="B2402" s="76">
        <v>44330</v>
      </c>
      <c r="C2402" s="77">
        <v>47.93</v>
      </c>
      <c r="D2402" s="78">
        <v>51.639999000000003</v>
      </c>
    </row>
    <row r="2403" spans="2:4">
      <c r="B2403" s="76">
        <v>44333</v>
      </c>
      <c r="C2403" s="77">
        <v>47.950001</v>
      </c>
      <c r="D2403" s="78">
        <v>51.529998999999997</v>
      </c>
    </row>
    <row r="2404" spans="2:4">
      <c r="B2404" s="76">
        <v>44334</v>
      </c>
      <c r="C2404" s="77">
        <v>45.849997999999999</v>
      </c>
      <c r="D2404" s="78">
        <v>51.119999</v>
      </c>
    </row>
    <row r="2405" spans="2:4">
      <c r="B2405" s="76">
        <v>44335</v>
      </c>
      <c r="C2405" s="77">
        <v>44.619999</v>
      </c>
      <c r="D2405" s="78">
        <v>50.93</v>
      </c>
    </row>
    <row r="2406" spans="2:4">
      <c r="B2406" s="76">
        <v>44336</v>
      </c>
      <c r="C2406" s="77">
        <v>44.779998999999997</v>
      </c>
      <c r="D2406" s="78">
        <v>51.48</v>
      </c>
    </row>
    <row r="2407" spans="2:4">
      <c r="B2407" s="76">
        <v>44337</v>
      </c>
      <c r="C2407" s="77">
        <v>43.959999000000003</v>
      </c>
      <c r="D2407" s="78">
        <v>51.450001</v>
      </c>
    </row>
    <row r="2408" spans="2:4">
      <c r="B2408" s="76">
        <v>44340</v>
      </c>
      <c r="C2408" s="77">
        <v>44.48</v>
      </c>
      <c r="D2408" s="78">
        <v>51.950001</v>
      </c>
    </row>
    <row r="2409" spans="2:4">
      <c r="B2409" s="76">
        <v>44341</v>
      </c>
      <c r="C2409" s="77">
        <v>44.860000999999997</v>
      </c>
      <c r="D2409" s="78">
        <v>51.77</v>
      </c>
    </row>
    <row r="2410" spans="2:4">
      <c r="B2410" s="76">
        <v>44342</v>
      </c>
      <c r="C2410" s="77">
        <v>45.169998</v>
      </c>
      <c r="D2410" s="78">
        <v>51.939999</v>
      </c>
    </row>
    <row r="2411" spans="2:4">
      <c r="B2411" s="76">
        <v>44343</v>
      </c>
      <c r="C2411" s="77">
        <v>45.150002000000001</v>
      </c>
      <c r="D2411" s="78">
        <v>51.959999000000003</v>
      </c>
    </row>
    <row r="2412" spans="2:4">
      <c r="B2412" s="76">
        <v>44344</v>
      </c>
      <c r="C2412" s="77">
        <v>44.540000999999997</v>
      </c>
      <c r="D2412" s="78">
        <v>52.09</v>
      </c>
    </row>
    <row r="2413" spans="2:4">
      <c r="B2413" s="76">
        <v>44348</v>
      </c>
      <c r="C2413" s="77">
        <v>44.470001000000003</v>
      </c>
      <c r="D2413" s="78">
        <v>52.060001</v>
      </c>
    </row>
    <row r="2414" spans="2:4">
      <c r="B2414" s="76">
        <v>44349</v>
      </c>
      <c r="C2414" s="77">
        <v>42.880001</v>
      </c>
      <c r="D2414" s="78">
        <v>52.16</v>
      </c>
    </row>
    <row r="2415" spans="2:4">
      <c r="B2415" s="76">
        <v>44350</v>
      </c>
      <c r="C2415" s="77">
        <v>42.25</v>
      </c>
      <c r="D2415" s="78">
        <v>51.93</v>
      </c>
    </row>
    <row r="2416" spans="2:4">
      <c r="B2416" s="76">
        <v>44351</v>
      </c>
      <c r="C2416" s="77">
        <v>42.700001</v>
      </c>
      <c r="D2416" s="78">
        <v>52.389999000000003</v>
      </c>
    </row>
    <row r="2417" spans="2:4">
      <c r="B2417" s="76">
        <v>44354</v>
      </c>
      <c r="C2417" s="77">
        <v>41.93</v>
      </c>
      <c r="D2417" s="78">
        <v>52.34</v>
      </c>
    </row>
    <row r="2418" spans="2:4">
      <c r="B2418" s="76">
        <v>44355</v>
      </c>
      <c r="C2418" s="77">
        <v>42.259998000000003</v>
      </c>
      <c r="D2418" s="78">
        <v>52.369999</v>
      </c>
    </row>
    <row r="2419" spans="2:4">
      <c r="B2419" s="76">
        <v>44356</v>
      </c>
      <c r="C2419" s="77">
        <v>43.759998000000003</v>
      </c>
      <c r="D2419" s="78">
        <v>52.290000999999997</v>
      </c>
    </row>
    <row r="2420" spans="2:4">
      <c r="B2420" s="76">
        <v>44357</v>
      </c>
      <c r="C2420" s="77">
        <v>42.68</v>
      </c>
      <c r="D2420" s="78">
        <v>52.509998000000003</v>
      </c>
    </row>
    <row r="2421" spans="2:4">
      <c r="B2421" s="76">
        <v>44358</v>
      </c>
      <c r="C2421" s="77">
        <v>43.860000999999997</v>
      </c>
      <c r="D2421" s="78">
        <v>52.639999000000003</v>
      </c>
    </row>
    <row r="2422" spans="2:4">
      <c r="B2422" s="76">
        <v>44361</v>
      </c>
      <c r="C2422" s="77">
        <v>42.610000999999997</v>
      </c>
      <c r="D2422" s="78">
        <v>52.68</v>
      </c>
    </row>
    <row r="2423" spans="2:4">
      <c r="B2423" s="76">
        <v>44362</v>
      </c>
      <c r="C2423" s="77">
        <v>43.360000999999997</v>
      </c>
      <c r="D2423" s="78">
        <v>52.599997999999999</v>
      </c>
    </row>
    <row r="2424" spans="2:4">
      <c r="B2424" s="76">
        <v>44363</v>
      </c>
      <c r="C2424" s="77">
        <v>43.330002</v>
      </c>
      <c r="D2424" s="78">
        <v>52.299999</v>
      </c>
    </row>
    <row r="2425" spans="2:4">
      <c r="B2425" s="76">
        <v>44364</v>
      </c>
      <c r="C2425" s="77">
        <v>43.029998999999997</v>
      </c>
      <c r="D2425" s="78">
        <v>52.25</v>
      </c>
    </row>
    <row r="2426" spans="2:4">
      <c r="B2426" s="76">
        <v>44365</v>
      </c>
      <c r="C2426" s="77">
        <v>42.220001000000003</v>
      </c>
      <c r="D2426" s="78">
        <v>51.509998000000003</v>
      </c>
    </row>
    <row r="2427" spans="2:4">
      <c r="B2427" s="76">
        <v>44368</v>
      </c>
      <c r="C2427" s="77">
        <v>43.880001</v>
      </c>
      <c r="D2427" s="78">
        <v>52.029998999999997</v>
      </c>
    </row>
    <row r="2428" spans="2:4">
      <c r="B2428" s="76">
        <v>44369</v>
      </c>
      <c r="C2428" s="77">
        <v>44.43</v>
      </c>
      <c r="D2428" s="78">
        <v>52.290000999999997</v>
      </c>
    </row>
    <row r="2429" spans="2:4">
      <c r="B2429" s="76">
        <v>44370</v>
      </c>
      <c r="C2429" s="77">
        <v>44.150002000000001</v>
      </c>
      <c r="D2429" s="78">
        <v>52.310001</v>
      </c>
    </row>
    <row r="2430" spans="2:4">
      <c r="B2430" s="76">
        <v>44371</v>
      </c>
      <c r="C2430" s="77">
        <v>44.84</v>
      </c>
      <c r="D2430" s="78">
        <v>52.610000999999997</v>
      </c>
    </row>
    <row r="2431" spans="2:4">
      <c r="B2431" s="76">
        <v>44372</v>
      </c>
      <c r="C2431" s="77">
        <v>45.209999000000003</v>
      </c>
      <c r="D2431" s="78">
        <v>52.849997999999999</v>
      </c>
    </row>
    <row r="2432" spans="2:4">
      <c r="B2432" s="76">
        <v>44375</v>
      </c>
      <c r="C2432" s="77">
        <v>45.240001999999997</v>
      </c>
      <c r="D2432" s="78">
        <v>52.900002000000001</v>
      </c>
    </row>
    <row r="2433" spans="2:4">
      <c r="B2433" s="76">
        <v>44376</v>
      </c>
      <c r="C2433" s="77">
        <v>42.57</v>
      </c>
      <c r="D2433" s="78">
        <v>52.91</v>
      </c>
    </row>
    <row r="2434" spans="2:4">
      <c r="B2434" s="76">
        <v>44377</v>
      </c>
      <c r="C2434" s="77">
        <v>42.66</v>
      </c>
      <c r="D2434" s="78">
        <v>52.970001000000003</v>
      </c>
    </row>
    <row r="2435" spans="2:4">
      <c r="B2435" s="76">
        <v>44378</v>
      </c>
      <c r="C2435" s="77">
        <v>43.68</v>
      </c>
      <c r="D2435" s="78">
        <v>53.279998999999997</v>
      </c>
    </row>
    <row r="2436" spans="2:4">
      <c r="B2436" s="76">
        <v>44379</v>
      </c>
      <c r="C2436" s="77">
        <v>43.259998000000003</v>
      </c>
      <c r="D2436" s="78">
        <v>53.619999</v>
      </c>
    </row>
    <row r="2437" spans="2:4">
      <c r="B2437" s="76">
        <v>44383</v>
      </c>
      <c r="C2437" s="77">
        <v>42.169998</v>
      </c>
      <c r="D2437" s="78">
        <v>53.470001000000003</v>
      </c>
    </row>
    <row r="2438" spans="2:4">
      <c r="B2438" s="76">
        <v>44384</v>
      </c>
      <c r="C2438" s="77">
        <v>43.009998000000003</v>
      </c>
      <c r="D2438" s="78">
        <v>53.610000999999997</v>
      </c>
    </row>
    <row r="2439" spans="2:4">
      <c r="B2439" s="76">
        <v>44385</v>
      </c>
      <c r="C2439" s="77">
        <v>41.75</v>
      </c>
      <c r="D2439" s="78">
        <v>53.189999</v>
      </c>
    </row>
    <row r="2440" spans="2:4">
      <c r="B2440" s="76">
        <v>44386</v>
      </c>
      <c r="C2440" s="77">
        <v>42.77</v>
      </c>
      <c r="D2440" s="78">
        <v>53.799999</v>
      </c>
    </row>
    <row r="2441" spans="2:4">
      <c r="B2441" s="76">
        <v>44389</v>
      </c>
      <c r="C2441" s="77">
        <v>43.75</v>
      </c>
      <c r="D2441" s="78">
        <v>54</v>
      </c>
    </row>
    <row r="2442" spans="2:4">
      <c r="B2442" s="76">
        <v>44390</v>
      </c>
      <c r="C2442" s="77">
        <v>42.330002</v>
      </c>
      <c r="D2442" s="78">
        <v>53.759998000000003</v>
      </c>
    </row>
    <row r="2443" spans="2:4">
      <c r="B2443" s="76">
        <v>44391</v>
      </c>
      <c r="C2443" s="77">
        <v>41.950001</v>
      </c>
      <c r="D2443" s="78">
        <v>53.790000999999997</v>
      </c>
    </row>
    <row r="2444" spans="2:4">
      <c r="B2444" s="76">
        <v>44392</v>
      </c>
      <c r="C2444" s="77">
        <v>41.84</v>
      </c>
      <c r="D2444" s="78">
        <v>53.610000999999997</v>
      </c>
    </row>
    <row r="2445" spans="2:4">
      <c r="B2445" s="76">
        <v>44393</v>
      </c>
      <c r="C2445" s="77">
        <v>40.98</v>
      </c>
      <c r="D2445" s="78">
        <v>53.18</v>
      </c>
    </row>
    <row r="2446" spans="2:4">
      <c r="B2446" s="76">
        <v>44396</v>
      </c>
      <c r="C2446" s="77">
        <v>40.470001000000003</v>
      </c>
      <c r="D2446" s="78">
        <v>52.32</v>
      </c>
    </row>
    <row r="2447" spans="2:4">
      <c r="B2447" s="76">
        <v>44397</v>
      </c>
      <c r="C2447" s="77">
        <v>41.990001999999997</v>
      </c>
      <c r="D2447" s="78">
        <v>53.189999</v>
      </c>
    </row>
    <row r="2448" spans="2:4">
      <c r="B2448" s="76">
        <v>44398</v>
      </c>
      <c r="C2448" s="77">
        <v>44.939999</v>
      </c>
      <c r="D2448" s="78">
        <v>53.650002000000001</v>
      </c>
    </row>
    <row r="2449" spans="2:4">
      <c r="B2449" s="76">
        <v>44399</v>
      </c>
      <c r="C2449" s="77">
        <v>44.549999</v>
      </c>
      <c r="D2449" s="78">
        <v>53.700001</v>
      </c>
    </row>
    <row r="2450" spans="2:4">
      <c r="B2450" s="76">
        <v>44400</v>
      </c>
      <c r="C2450" s="77">
        <v>45.360000999999997</v>
      </c>
      <c r="D2450" s="78">
        <v>54.220001000000003</v>
      </c>
    </row>
    <row r="2451" spans="2:4">
      <c r="B2451" s="76">
        <v>44403</v>
      </c>
      <c r="C2451" s="77">
        <v>44.009998000000003</v>
      </c>
      <c r="D2451" s="78">
        <v>54.360000999999997</v>
      </c>
    </row>
    <row r="2452" spans="2:4">
      <c r="B2452" s="76">
        <v>44404</v>
      </c>
      <c r="C2452" s="77">
        <v>44.200001</v>
      </c>
      <c r="D2452" s="78">
        <v>54.110000999999997</v>
      </c>
    </row>
    <row r="2453" spans="2:4">
      <c r="B2453" s="76">
        <v>44405</v>
      </c>
      <c r="C2453" s="77">
        <v>44.119999</v>
      </c>
      <c r="D2453" s="78">
        <v>54.119999</v>
      </c>
    </row>
    <row r="2454" spans="2:4">
      <c r="B2454" s="76">
        <v>44406</v>
      </c>
      <c r="C2454" s="77">
        <v>44.939999</v>
      </c>
      <c r="D2454" s="78">
        <v>54.380001</v>
      </c>
    </row>
    <row r="2455" spans="2:4">
      <c r="B2455" s="76">
        <v>44407</v>
      </c>
      <c r="C2455" s="77">
        <v>44.5</v>
      </c>
      <c r="D2455" s="78">
        <v>54.09</v>
      </c>
    </row>
    <row r="2456" spans="2:4">
      <c r="B2456" s="76">
        <v>44410</v>
      </c>
      <c r="C2456" s="77">
        <v>44.450001</v>
      </c>
      <c r="D2456" s="78">
        <v>53.970001000000003</v>
      </c>
    </row>
    <row r="2457" spans="2:4">
      <c r="B2457" s="76">
        <v>44411</v>
      </c>
      <c r="C2457" s="77">
        <v>45.860000999999997</v>
      </c>
      <c r="D2457" s="78">
        <v>54.439999</v>
      </c>
    </row>
    <row r="2458" spans="2:4">
      <c r="B2458" s="76">
        <v>44412</v>
      </c>
      <c r="C2458" s="77">
        <v>45.950001</v>
      </c>
      <c r="D2458" s="78">
        <v>54.099997999999999</v>
      </c>
    </row>
    <row r="2459" spans="2:4">
      <c r="B2459" s="76">
        <v>44413</v>
      </c>
      <c r="C2459" s="77">
        <v>47.330002</v>
      </c>
      <c r="D2459" s="78">
        <v>54.470001000000003</v>
      </c>
    </row>
    <row r="2460" spans="2:4">
      <c r="B2460" s="76">
        <v>44414</v>
      </c>
      <c r="C2460" s="77">
        <v>47.290000999999997</v>
      </c>
      <c r="D2460" s="78">
        <v>54.59</v>
      </c>
    </row>
    <row r="2461" spans="2:4">
      <c r="B2461" s="76">
        <v>44417</v>
      </c>
      <c r="C2461" s="77">
        <v>47.5</v>
      </c>
      <c r="D2461" s="78">
        <v>54.560001</v>
      </c>
    </row>
    <row r="2462" spans="2:4">
      <c r="B2462" s="76">
        <v>44418</v>
      </c>
      <c r="C2462" s="77">
        <v>48.790000999999997</v>
      </c>
      <c r="D2462" s="78">
        <v>54.630001</v>
      </c>
    </row>
    <row r="2463" spans="2:4">
      <c r="B2463" s="76">
        <v>44419</v>
      </c>
      <c r="C2463" s="77">
        <v>50.240001999999997</v>
      </c>
      <c r="D2463" s="78">
        <v>54.799999</v>
      </c>
    </row>
    <row r="2464" spans="2:4">
      <c r="B2464" s="76">
        <v>44420</v>
      </c>
      <c r="C2464" s="77">
        <v>51.900002000000001</v>
      </c>
      <c r="D2464" s="78">
        <v>54.939999</v>
      </c>
    </row>
    <row r="2465" spans="2:4">
      <c r="B2465" s="76">
        <v>44421</v>
      </c>
      <c r="C2465" s="77">
        <v>51.759998000000003</v>
      </c>
      <c r="D2465" s="78">
        <v>55</v>
      </c>
    </row>
    <row r="2466" spans="2:4">
      <c r="B2466" s="76">
        <v>44424</v>
      </c>
      <c r="C2466" s="77">
        <v>51.580002</v>
      </c>
      <c r="D2466" s="78">
        <v>55.09</v>
      </c>
    </row>
    <row r="2467" spans="2:4">
      <c r="B2467" s="76">
        <v>44425</v>
      </c>
      <c r="C2467" s="77">
        <v>49.700001</v>
      </c>
      <c r="D2467" s="78">
        <v>54.73</v>
      </c>
    </row>
    <row r="2468" spans="2:4">
      <c r="B2468" s="76">
        <v>44426</v>
      </c>
      <c r="C2468" s="77">
        <v>49.220001000000003</v>
      </c>
      <c r="D2468" s="78">
        <v>54.150002000000001</v>
      </c>
    </row>
    <row r="2469" spans="2:4">
      <c r="B2469" s="76">
        <v>44427</v>
      </c>
      <c r="C2469" s="77">
        <v>48.43</v>
      </c>
      <c r="D2469" s="78">
        <v>54.139999000000003</v>
      </c>
    </row>
    <row r="2470" spans="2:4">
      <c r="B2470" s="76">
        <v>44428</v>
      </c>
      <c r="C2470" s="77">
        <v>49.110000999999997</v>
      </c>
      <c r="D2470" s="78">
        <v>54.610000999999997</v>
      </c>
    </row>
    <row r="2471" spans="2:4">
      <c r="B2471" s="76">
        <v>44431</v>
      </c>
      <c r="C2471" s="77">
        <v>50.169998</v>
      </c>
      <c r="D2471" s="78">
        <v>55.119999</v>
      </c>
    </row>
    <row r="2472" spans="2:4">
      <c r="B2472" s="76">
        <v>44432</v>
      </c>
      <c r="C2472" s="77">
        <v>51.139999000000003</v>
      </c>
      <c r="D2472" s="78">
        <v>55.240001999999997</v>
      </c>
    </row>
    <row r="2473" spans="2:4">
      <c r="B2473" s="76">
        <v>44433</v>
      </c>
      <c r="C2473" s="77">
        <v>52.389999000000003</v>
      </c>
      <c r="D2473" s="78">
        <v>55.369999</v>
      </c>
    </row>
    <row r="2474" spans="2:4">
      <c r="B2474" s="76">
        <v>44434</v>
      </c>
      <c r="C2474" s="77">
        <v>51.75</v>
      </c>
      <c r="D2474" s="78">
        <v>55.009998000000003</v>
      </c>
    </row>
    <row r="2475" spans="2:4">
      <c r="B2475" s="76">
        <v>44435</v>
      </c>
      <c r="C2475" s="77">
        <v>53.25</v>
      </c>
      <c r="D2475" s="78">
        <v>55.580002</v>
      </c>
    </row>
    <row r="2476" spans="2:4">
      <c r="B2476" s="76">
        <v>44438</v>
      </c>
      <c r="C2476" s="77">
        <v>53.419998</v>
      </c>
      <c r="D2476" s="78">
        <v>55.779998999999997</v>
      </c>
    </row>
    <row r="2477" spans="2:4">
      <c r="B2477" s="76">
        <v>44439</v>
      </c>
      <c r="C2477" s="77">
        <v>53.290000999999997</v>
      </c>
      <c r="D2477" s="78">
        <v>55.68</v>
      </c>
    </row>
    <row r="2478" spans="2:4">
      <c r="B2478" s="76">
        <v>44440</v>
      </c>
      <c r="C2478" s="77">
        <v>53.59</v>
      </c>
      <c r="D2478" s="78">
        <v>55.709999000000003</v>
      </c>
    </row>
    <row r="2479" spans="2:4">
      <c r="B2479" s="76">
        <v>44441</v>
      </c>
      <c r="C2479" s="77">
        <v>54.610000999999997</v>
      </c>
      <c r="D2479" s="78">
        <v>55.93</v>
      </c>
    </row>
    <row r="2480" spans="2:4">
      <c r="B2480" s="76">
        <v>44442</v>
      </c>
      <c r="C2480" s="77">
        <v>54.490001999999997</v>
      </c>
      <c r="D2480" s="78">
        <v>55.830002</v>
      </c>
    </row>
    <row r="2481" spans="2:4">
      <c r="B2481" s="76">
        <v>44446</v>
      </c>
      <c r="C2481" s="77">
        <v>54.330002</v>
      </c>
      <c r="D2481" s="78">
        <v>55.639999000000003</v>
      </c>
    </row>
    <row r="2482" spans="2:4">
      <c r="B2482" s="76">
        <v>44447</v>
      </c>
      <c r="C2482" s="77">
        <v>54.130001</v>
      </c>
      <c r="D2482" s="78">
        <v>55.560001</v>
      </c>
    </row>
    <row r="2483" spans="2:4">
      <c r="B2483" s="76">
        <v>44448</v>
      </c>
      <c r="C2483" s="77">
        <v>54.369999</v>
      </c>
      <c r="D2483" s="78">
        <v>55.310001</v>
      </c>
    </row>
    <row r="2484" spans="2:4">
      <c r="B2484" s="76">
        <v>44449</v>
      </c>
      <c r="C2484" s="77">
        <v>53.470001000000003</v>
      </c>
      <c r="D2484" s="78">
        <v>54.869999</v>
      </c>
    </row>
    <row r="2485" spans="2:4">
      <c r="B2485" s="76">
        <v>44452</v>
      </c>
      <c r="C2485" s="77">
        <v>53.540000999999997</v>
      </c>
      <c r="D2485" s="78">
        <v>55</v>
      </c>
    </row>
    <row r="2486" spans="2:4">
      <c r="B2486" s="76">
        <v>44453</v>
      </c>
      <c r="C2486" s="77">
        <v>52.310001</v>
      </c>
      <c r="D2486" s="78">
        <v>54.709999000000003</v>
      </c>
    </row>
    <row r="2487" spans="2:4">
      <c r="B2487" s="76">
        <v>44454</v>
      </c>
      <c r="C2487" s="77">
        <v>53.119999</v>
      </c>
      <c r="D2487" s="78">
        <v>55.189999</v>
      </c>
    </row>
    <row r="2488" spans="2:4">
      <c r="B2488" s="76">
        <v>44455</v>
      </c>
      <c r="C2488" s="77">
        <v>52.799999</v>
      </c>
      <c r="D2488" s="78">
        <v>55.060001</v>
      </c>
    </row>
    <row r="2489" spans="2:4">
      <c r="B2489" s="76">
        <v>44456</v>
      </c>
      <c r="C2489" s="77">
        <v>52.82</v>
      </c>
      <c r="D2489" s="78">
        <v>54.560001</v>
      </c>
    </row>
    <row r="2490" spans="2:4">
      <c r="B2490" s="76">
        <v>44459</v>
      </c>
      <c r="C2490" s="77">
        <v>52.02</v>
      </c>
      <c r="D2490" s="78">
        <v>53.43</v>
      </c>
    </row>
    <row r="2491" spans="2:4">
      <c r="B2491" s="76">
        <v>44460</v>
      </c>
      <c r="C2491" s="77">
        <v>52.400002000000001</v>
      </c>
      <c r="D2491" s="78">
        <v>53.450001</v>
      </c>
    </row>
    <row r="2492" spans="2:4">
      <c r="B2492" s="76">
        <v>44461</v>
      </c>
      <c r="C2492" s="77">
        <v>53.959999000000003</v>
      </c>
      <c r="D2492" s="78">
        <v>53.98</v>
      </c>
    </row>
    <row r="2493" spans="2:4">
      <c r="B2493" s="76">
        <v>44462</v>
      </c>
      <c r="C2493" s="77">
        <v>54.259998000000003</v>
      </c>
      <c r="D2493" s="78">
        <v>54.610000999999997</v>
      </c>
    </row>
    <row r="2494" spans="2:4">
      <c r="B2494" s="76">
        <v>44463</v>
      </c>
      <c r="C2494" s="77">
        <v>54.16</v>
      </c>
      <c r="D2494" s="78">
        <v>54.720001000000003</v>
      </c>
    </row>
    <row r="2495" spans="2:4">
      <c r="B2495" s="76">
        <v>44466</v>
      </c>
      <c r="C2495" s="77">
        <v>54.900002000000001</v>
      </c>
      <c r="D2495" s="78">
        <v>54.650002000000001</v>
      </c>
    </row>
    <row r="2496" spans="2:4">
      <c r="B2496" s="76">
        <v>44467</v>
      </c>
      <c r="C2496" s="77">
        <v>53.939999</v>
      </c>
      <c r="D2496" s="78">
        <v>53.540000999999997</v>
      </c>
    </row>
    <row r="2497" spans="2:4">
      <c r="B2497" s="76">
        <v>44468</v>
      </c>
      <c r="C2497" s="77">
        <v>53.919998</v>
      </c>
      <c r="D2497" s="78">
        <v>53.619999</v>
      </c>
    </row>
    <row r="2498" spans="2:4">
      <c r="B2498" s="76">
        <v>44469</v>
      </c>
      <c r="C2498" s="77">
        <v>51.740001999999997</v>
      </c>
      <c r="D2498" s="78">
        <v>52.990001999999997</v>
      </c>
    </row>
    <row r="2499" spans="2:4">
      <c r="B2499" s="76">
        <v>44470</v>
      </c>
      <c r="C2499" s="77">
        <v>52.959999000000003</v>
      </c>
      <c r="D2499" s="78">
        <v>53.630001</v>
      </c>
    </row>
    <row r="2500" spans="2:4">
      <c r="B2500" s="76">
        <v>44473</v>
      </c>
      <c r="C2500" s="77">
        <v>52.580002</v>
      </c>
      <c r="D2500" s="78">
        <v>52.990001999999997</v>
      </c>
    </row>
    <row r="2501" spans="2:4">
      <c r="B2501" s="76">
        <v>44474</v>
      </c>
      <c r="C2501" s="77">
        <v>52.73</v>
      </c>
      <c r="D2501" s="78">
        <v>53.490001999999997</v>
      </c>
    </row>
    <row r="2502" spans="2:4">
      <c r="B2502" s="76">
        <v>44475</v>
      </c>
      <c r="C2502" s="77">
        <v>53.139999000000003</v>
      </c>
      <c r="D2502" s="78">
        <v>53.66</v>
      </c>
    </row>
    <row r="2503" spans="2:4">
      <c r="B2503" s="76">
        <v>44476</v>
      </c>
      <c r="C2503" s="77">
        <v>54.75</v>
      </c>
      <c r="D2503" s="78">
        <v>54.150002000000001</v>
      </c>
    </row>
    <row r="2504" spans="2:4">
      <c r="B2504" s="76">
        <v>44477</v>
      </c>
      <c r="C2504" s="77">
        <v>55.09</v>
      </c>
      <c r="D2504" s="78">
        <v>53.990001999999997</v>
      </c>
    </row>
    <row r="2505" spans="2:4">
      <c r="B2505" s="76">
        <v>44480</v>
      </c>
      <c r="C2505" s="77">
        <v>55.200001</v>
      </c>
      <c r="D2505" s="78">
        <v>53.669998</v>
      </c>
    </row>
    <row r="2506" spans="2:4">
      <c r="B2506" s="76">
        <v>44481</v>
      </c>
      <c r="C2506" s="77">
        <v>55.450001</v>
      </c>
      <c r="D2506" s="78">
        <v>53.57</v>
      </c>
    </row>
    <row r="2507" spans="2:4">
      <c r="B2507" s="76">
        <v>44482</v>
      </c>
      <c r="C2507" s="77">
        <v>56.419998</v>
      </c>
      <c r="D2507" s="78">
        <v>53.709999000000003</v>
      </c>
    </row>
    <row r="2508" spans="2:4">
      <c r="B2508" s="76">
        <v>44483</v>
      </c>
      <c r="C2508" s="77">
        <v>56.810001</v>
      </c>
      <c r="D2508" s="78">
        <v>54.610000999999997</v>
      </c>
    </row>
    <row r="2509" spans="2:4">
      <c r="B2509" s="76">
        <v>44484</v>
      </c>
      <c r="C2509" s="77">
        <v>57.07</v>
      </c>
      <c r="D2509" s="78">
        <v>54.990001999999997</v>
      </c>
    </row>
    <row r="2510" spans="2:4">
      <c r="B2510" s="76">
        <v>44487</v>
      </c>
      <c r="C2510" s="77">
        <v>57.82</v>
      </c>
      <c r="D2510" s="78">
        <v>55.200001</v>
      </c>
    </row>
    <row r="2511" spans="2:4">
      <c r="B2511" s="76">
        <v>44488</v>
      </c>
      <c r="C2511" s="77">
        <v>57.52</v>
      </c>
      <c r="D2511" s="78">
        <v>55.57</v>
      </c>
    </row>
    <row r="2512" spans="2:4">
      <c r="B2512" s="76">
        <v>44489</v>
      </c>
      <c r="C2512" s="77">
        <v>58.290000999999997</v>
      </c>
      <c r="D2512" s="78">
        <v>55.799999</v>
      </c>
    </row>
    <row r="2513" spans="2:4">
      <c r="B2513" s="76">
        <v>44490</v>
      </c>
      <c r="C2513" s="77">
        <v>58.549999</v>
      </c>
      <c r="D2513" s="78">
        <v>55.98</v>
      </c>
    </row>
    <row r="2514" spans="2:4">
      <c r="B2514" s="76">
        <v>44491</v>
      </c>
      <c r="C2514" s="77">
        <v>58.889999000000003</v>
      </c>
      <c r="D2514" s="78">
        <v>55.93</v>
      </c>
    </row>
    <row r="2515" spans="2:4">
      <c r="B2515" s="76">
        <v>44494</v>
      </c>
      <c r="C2515" s="77">
        <v>60.139999000000003</v>
      </c>
      <c r="D2515" s="78">
        <v>56.200001</v>
      </c>
    </row>
    <row r="2516" spans="2:4">
      <c r="B2516" s="76">
        <v>44495</v>
      </c>
      <c r="C2516" s="77">
        <v>58.759998000000003</v>
      </c>
      <c r="D2516" s="78">
        <v>56.25</v>
      </c>
    </row>
    <row r="2517" spans="2:4">
      <c r="B2517" s="76">
        <v>44496</v>
      </c>
      <c r="C2517" s="77">
        <v>57.040000999999997</v>
      </c>
      <c r="D2517" s="78">
        <v>55.900002000000001</v>
      </c>
    </row>
    <row r="2518" spans="2:4">
      <c r="B2518" s="76">
        <v>44497</v>
      </c>
      <c r="C2518" s="77">
        <v>58.240001999999997</v>
      </c>
      <c r="D2518" s="78">
        <v>56.490001999999997</v>
      </c>
    </row>
    <row r="2519" spans="2:4">
      <c r="B2519" s="76">
        <v>44498</v>
      </c>
      <c r="C2519" s="77">
        <v>58.27</v>
      </c>
      <c r="D2519" s="78">
        <v>56.580002</v>
      </c>
    </row>
    <row r="2520" spans="2:4">
      <c r="B2520" s="76">
        <v>44501</v>
      </c>
      <c r="C2520" s="77">
        <v>58.540000999999997</v>
      </c>
      <c r="D2520" s="78">
        <v>56.77</v>
      </c>
    </row>
    <row r="2521" spans="2:4">
      <c r="B2521" s="76">
        <v>44502</v>
      </c>
      <c r="C2521" s="77">
        <v>58.200001</v>
      </c>
      <c r="D2521" s="78">
        <v>56.98</v>
      </c>
    </row>
    <row r="2522" spans="2:4">
      <c r="B2522" s="76">
        <v>44503</v>
      </c>
      <c r="C2522" s="77">
        <v>60.259998000000003</v>
      </c>
      <c r="D2522" s="78">
        <v>57.400002000000001</v>
      </c>
    </row>
    <row r="2523" spans="2:4">
      <c r="B2523" s="76">
        <v>44504</v>
      </c>
      <c r="C2523" s="77">
        <v>65.400002000000001</v>
      </c>
      <c r="D2523" s="78">
        <v>57.57</v>
      </c>
    </row>
    <row r="2524" spans="2:4">
      <c r="B2524" s="76">
        <v>44505</v>
      </c>
      <c r="C2524" s="77">
        <v>67.239998</v>
      </c>
      <c r="D2524" s="78">
        <v>57.880001</v>
      </c>
    </row>
    <row r="2525" spans="2:4">
      <c r="B2525" s="76">
        <v>44508</v>
      </c>
      <c r="C2525" s="77">
        <v>66.839995999999999</v>
      </c>
      <c r="D2525" s="78">
        <v>57.919998</v>
      </c>
    </row>
    <row r="2526" spans="2:4">
      <c r="B2526" s="76">
        <v>44509</v>
      </c>
      <c r="C2526" s="77">
        <v>67.680000000000007</v>
      </c>
      <c r="D2526" s="78">
        <v>57.720001000000003</v>
      </c>
    </row>
    <row r="2527" spans="2:4">
      <c r="B2527" s="76">
        <v>44510</v>
      </c>
      <c r="C2527" s="77">
        <v>66.919998000000007</v>
      </c>
      <c r="D2527" s="78">
        <v>57.290000999999997</v>
      </c>
    </row>
    <row r="2528" spans="2:4">
      <c r="B2528" s="76">
        <v>44511</v>
      </c>
      <c r="C2528" s="77">
        <v>67.459998999999996</v>
      </c>
      <c r="D2528" s="78">
        <v>57.330002</v>
      </c>
    </row>
    <row r="2529" spans="2:4">
      <c r="B2529" s="76">
        <v>44512</v>
      </c>
      <c r="C2529" s="77">
        <v>68</v>
      </c>
      <c r="D2529" s="78">
        <v>57.73</v>
      </c>
    </row>
    <row r="2530" spans="2:4">
      <c r="B2530" s="76">
        <v>44515</v>
      </c>
      <c r="C2530" s="77">
        <v>67</v>
      </c>
      <c r="D2530" s="78">
        <v>57.720001000000003</v>
      </c>
    </row>
    <row r="2531" spans="2:4">
      <c r="B2531" s="76">
        <v>44516</v>
      </c>
      <c r="C2531" s="77">
        <v>69</v>
      </c>
      <c r="D2531" s="78">
        <v>57.93</v>
      </c>
    </row>
    <row r="2532" spans="2:4">
      <c r="B2532" s="76">
        <v>44517</v>
      </c>
      <c r="C2532" s="77">
        <v>69.25</v>
      </c>
      <c r="D2532" s="78">
        <v>57.77</v>
      </c>
    </row>
    <row r="2533" spans="2:4">
      <c r="B2533" s="76">
        <v>44518</v>
      </c>
      <c r="C2533" s="77">
        <v>71.190002000000007</v>
      </c>
      <c r="D2533" s="78">
        <v>57.939999</v>
      </c>
    </row>
    <row r="2534" spans="2:4">
      <c r="B2534" s="76">
        <v>44519</v>
      </c>
      <c r="C2534" s="77">
        <v>70.239998</v>
      </c>
      <c r="D2534" s="78">
        <v>57.799999</v>
      </c>
    </row>
    <row r="2535" spans="2:4">
      <c r="B2535" s="76">
        <v>44522</v>
      </c>
      <c r="C2535" s="77">
        <v>71.800003000000004</v>
      </c>
      <c r="D2535" s="78">
        <v>57.709999000000003</v>
      </c>
    </row>
    <row r="2536" spans="2:4">
      <c r="B2536" s="76">
        <v>44523</v>
      </c>
      <c r="C2536" s="77">
        <v>73.349997999999999</v>
      </c>
      <c r="D2536" s="78">
        <v>57.799999</v>
      </c>
    </row>
    <row r="2537" spans="2:4">
      <c r="B2537" s="76">
        <v>44524</v>
      </c>
      <c r="C2537" s="77">
        <v>73.709998999999996</v>
      </c>
      <c r="D2537" s="78">
        <v>57.869999</v>
      </c>
    </row>
    <row r="2538" spans="2:4">
      <c r="B2538" s="76">
        <v>44526</v>
      </c>
      <c r="C2538" s="77">
        <v>71.430000000000007</v>
      </c>
      <c r="D2538" s="78">
        <v>56.580002</v>
      </c>
    </row>
    <row r="2539" spans="2:4">
      <c r="B2539" s="76">
        <v>44529</v>
      </c>
      <c r="C2539" s="77">
        <v>71.849997999999999</v>
      </c>
      <c r="D2539" s="78">
        <v>57.220001000000003</v>
      </c>
    </row>
    <row r="2540" spans="2:4">
      <c r="B2540" s="76">
        <v>44530</v>
      </c>
      <c r="C2540" s="77">
        <v>69.440002000000007</v>
      </c>
      <c r="D2540" s="78">
        <v>56.130001</v>
      </c>
    </row>
    <row r="2541" spans="2:4">
      <c r="B2541" s="76">
        <v>44531</v>
      </c>
      <c r="C2541" s="77">
        <v>70.220000999999996</v>
      </c>
      <c r="D2541" s="78">
        <v>55.439999</v>
      </c>
    </row>
    <row r="2542" spans="2:4">
      <c r="B2542" s="76">
        <v>44532</v>
      </c>
      <c r="C2542" s="77">
        <v>73.319999999999993</v>
      </c>
      <c r="D2542" s="78">
        <v>56.290000999999997</v>
      </c>
    </row>
    <row r="2543" spans="2:4">
      <c r="B2543" s="76">
        <v>44533</v>
      </c>
      <c r="C2543" s="77">
        <v>71.110000999999997</v>
      </c>
      <c r="D2543" s="78">
        <v>55.830002</v>
      </c>
    </row>
    <row r="2544" spans="2:4">
      <c r="B2544" s="76">
        <v>44536</v>
      </c>
      <c r="C2544" s="77">
        <v>73.379997000000003</v>
      </c>
      <c r="D2544" s="78">
        <v>56.48</v>
      </c>
    </row>
    <row r="2545" spans="2:4">
      <c r="B2545" s="76">
        <v>44537</v>
      </c>
      <c r="C2545" s="77">
        <v>76</v>
      </c>
      <c r="D2545" s="78">
        <v>57.630001</v>
      </c>
    </row>
    <row r="2546" spans="2:4">
      <c r="B2546" s="76">
        <v>44538</v>
      </c>
      <c r="C2546" s="77">
        <v>76.480002999999996</v>
      </c>
      <c r="D2546" s="78">
        <v>57.84</v>
      </c>
    </row>
    <row r="2547" spans="2:4">
      <c r="B2547" s="76">
        <v>44539</v>
      </c>
      <c r="C2547" s="77">
        <v>77.75</v>
      </c>
      <c r="D2547" s="78">
        <v>57.41</v>
      </c>
    </row>
    <row r="2548" spans="2:4">
      <c r="B2548" s="76">
        <v>44540</v>
      </c>
      <c r="C2548" s="77">
        <v>79.569999999999993</v>
      </c>
      <c r="D2548" s="78">
        <v>57.91</v>
      </c>
    </row>
    <row r="2549" spans="2:4">
      <c r="B2549" s="76">
        <v>44543</v>
      </c>
      <c r="C2549" s="77">
        <v>77.440002000000007</v>
      </c>
      <c r="D2549" s="78">
        <v>57.389999000000003</v>
      </c>
    </row>
    <row r="2550" spans="2:4">
      <c r="B2550" s="76">
        <v>44544</v>
      </c>
      <c r="C2550" s="77">
        <v>76.639999000000003</v>
      </c>
      <c r="D2550" s="78">
        <v>56.970001000000003</v>
      </c>
    </row>
    <row r="2551" spans="2:4">
      <c r="B2551" s="76">
        <v>44545</v>
      </c>
      <c r="C2551" s="77">
        <v>78.260002</v>
      </c>
      <c r="D2551" s="78">
        <v>57.790000999999997</v>
      </c>
    </row>
    <row r="2552" spans="2:4">
      <c r="B2552" s="76">
        <v>44546</v>
      </c>
      <c r="C2552" s="77">
        <v>77.25</v>
      </c>
      <c r="D2552" s="78">
        <v>57.34</v>
      </c>
    </row>
    <row r="2553" spans="2:4">
      <c r="B2553" s="76">
        <v>44547</v>
      </c>
      <c r="C2553" s="77">
        <v>76.830001999999993</v>
      </c>
      <c r="D2553" s="78">
        <v>56.790000999999997</v>
      </c>
    </row>
    <row r="2554" spans="2:4">
      <c r="B2554" s="76">
        <v>44550</v>
      </c>
      <c r="C2554" s="77">
        <v>75.129997000000003</v>
      </c>
      <c r="D2554" s="78">
        <v>55.91</v>
      </c>
    </row>
    <row r="2555" spans="2:4">
      <c r="B2555" s="76">
        <v>44551</v>
      </c>
      <c r="C2555" s="77">
        <v>78.690002000000007</v>
      </c>
      <c r="D2555" s="78">
        <v>56.970001000000003</v>
      </c>
    </row>
    <row r="2556" spans="2:4">
      <c r="B2556" s="76">
        <v>44552</v>
      </c>
      <c r="C2556" s="77">
        <v>81.059997999999993</v>
      </c>
      <c r="D2556" s="78">
        <v>57.509998000000003</v>
      </c>
    </row>
    <row r="2557" spans="2:4">
      <c r="B2557" s="76">
        <v>44553</v>
      </c>
      <c r="C2557" s="77">
        <v>82.150002000000001</v>
      </c>
      <c r="D2557" s="78">
        <v>57.860000999999997</v>
      </c>
    </row>
    <row r="2558" spans="2:4">
      <c r="B2558" s="76">
        <v>44557</v>
      </c>
      <c r="C2558" s="77">
        <v>84.309997999999993</v>
      </c>
      <c r="D2558" s="78">
        <v>58.720001000000003</v>
      </c>
    </row>
    <row r="2559" spans="2:4">
      <c r="B2559" s="76">
        <v>44558</v>
      </c>
      <c r="C2559" s="77">
        <v>84.459998999999996</v>
      </c>
      <c r="D2559" s="78">
        <v>58.639999000000003</v>
      </c>
    </row>
    <row r="2560" spans="2:4">
      <c r="B2560" s="76">
        <v>44559</v>
      </c>
      <c r="C2560" s="77">
        <v>85.050003000000004</v>
      </c>
      <c r="D2560" s="78">
        <v>58.740001999999997</v>
      </c>
    </row>
    <row r="2561" spans="2:4">
      <c r="B2561" s="76">
        <v>44560</v>
      </c>
      <c r="C2561" s="77">
        <v>84.050003000000004</v>
      </c>
      <c r="D2561" s="78">
        <v>58.57</v>
      </c>
    </row>
    <row r="2562" spans="2:4">
      <c r="B2562" s="76">
        <v>44561</v>
      </c>
      <c r="C2562" s="77">
        <v>85.709998999999996</v>
      </c>
      <c r="D2562" s="78">
        <v>58.450001</v>
      </c>
    </row>
    <row r="2563" spans="2:4">
      <c r="B2563" s="76">
        <v>44564</v>
      </c>
      <c r="C2563" s="77">
        <v>83.489998</v>
      </c>
      <c r="D2563" s="78">
        <v>58.77</v>
      </c>
    </row>
    <row r="2564" spans="2:4">
      <c r="B2564" s="76">
        <v>44565</v>
      </c>
      <c r="C2564" s="77">
        <v>85.419998000000007</v>
      </c>
      <c r="D2564" s="78">
        <v>58.82</v>
      </c>
    </row>
    <row r="2565" spans="2:4">
      <c r="B2565" s="76">
        <v>44566</v>
      </c>
      <c r="C2565" s="77">
        <v>82.400002000000001</v>
      </c>
      <c r="D2565" s="78">
        <v>57.66</v>
      </c>
    </row>
    <row r="2566" spans="2:4">
      <c r="B2566" s="76">
        <v>44567</v>
      </c>
      <c r="C2566" s="77">
        <v>82.459998999999996</v>
      </c>
      <c r="D2566" s="78">
        <v>57.599997999999999</v>
      </c>
    </row>
    <row r="2567" spans="2:4">
      <c r="B2567" s="76">
        <v>44568</v>
      </c>
      <c r="C2567" s="77">
        <v>78.629997000000003</v>
      </c>
      <c r="D2567" s="78">
        <v>57.400002000000001</v>
      </c>
    </row>
    <row r="2568" spans="2:4">
      <c r="B2568" s="76">
        <v>44571</v>
      </c>
      <c r="C2568" s="77">
        <v>79.010002</v>
      </c>
      <c r="D2568" s="78">
        <v>57.330002</v>
      </c>
    </row>
    <row r="2569" spans="2:4">
      <c r="B2569" s="76">
        <v>44572</v>
      </c>
      <c r="C2569" s="77">
        <v>80.489998</v>
      </c>
      <c r="D2569" s="78">
        <v>57.84</v>
      </c>
    </row>
    <row r="2570" spans="2:4">
      <c r="B2570" s="76">
        <v>44573</v>
      </c>
      <c r="C2570" s="77">
        <v>81.180000000000007</v>
      </c>
      <c r="D2570" s="78">
        <v>57.939999</v>
      </c>
    </row>
    <row r="2571" spans="2:4">
      <c r="B2571" s="76">
        <v>44574</v>
      </c>
      <c r="C2571" s="77">
        <v>80.580001999999993</v>
      </c>
      <c r="D2571" s="78">
        <v>57.189999</v>
      </c>
    </row>
    <row r="2572" spans="2:4">
      <c r="B2572" s="76">
        <v>44575</v>
      </c>
      <c r="C2572" s="77">
        <v>78.680000000000007</v>
      </c>
      <c r="D2572" s="78">
        <v>57.240001999999997</v>
      </c>
    </row>
    <row r="2573" spans="2:4">
      <c r="B2573" s="76">
        <v>44579</v>
      </c>
      <c r="C2573" s="77">
        <v>75.949996999999996</v>
      </c>
      <c r="D2573" s="78">
        <v>56.189999</v>
      </c>
    </row>
    <row r="2574" spans="2:4">
      <c r="B2574" s="76">
        <v>44580</v>
      </c>
      <c r="C2574" s="77">
        <v>72.629997000000003</v>
      </c>
      <c r="D2574" s="78">
        <v>55.580002</v>
      </c>
    </row>
    <row r="2575" spans="2:4">
      <c r="B2575" s="76">
        <v>44581</v>
      </c>
      <c r="C2575" s="77">
        <v>69.739998</v>
      </c>
      <c r="D2575" s="78">
        <v>54.919998</v>
      </c>
    </row>
    <row r="2576" spans="2:4">
      <c r="B2576" s="76">
        <v>44582</v>
      </c>
      <c r="C2576" s="77">
        <v>67</v>
      </c>
      <c r="D2576" s="78">
        <v>53.900002000000001</v>
      </c>
    </row>
    <row r="2577" spans="2:4">
      <c r="B2577" s="76">
        <v>44585</v>
      </c>
      <c r="C2577" s="77">
        <v>69.800003000000004</v>
      </c>
      <c r="D2577" s="78">
        <v>54.189999</v>
      </c>
    </row>
    <row r="2578" spans="2:4">
      <c r="B2578" s="76">
        <v>44586</v>
      </c>
      <c r="C2578" s="77">
        <v>67.75</v>
      </c>
      <c r="D2578" s="78">
        <v>53.52</v>
      </c>
    </row>
    <row r="2579" spans="2:4">
      <c r="B2579" s="76">
        <v>44587</v>
      </c>
      <c r="C2579" s="77">
        <v>65.800003000000004</v>
      </c>
      <c r="D2579" s="78">
        <v>53.360000999999997</v>
      </c>
    </row>
    <row r="2580" spans="2:4">
      <c r="B2580" s="76">
        <v>44588</v>
      </c>
      <c r="C2580" s="77">
        <v>64.190002000000007</v>
      </c>
      <c r="D2580" s="78">
        <v>53.009998000000003</v>
      </c>
    </row>
    <row r="2581" spans="2:4">
      <c r="B2581" s="76">
        <v>44589</v>
      </c>
      <c r="C2581" s="77">
        <v>66.360000999999997</v>
      </c>
      <c r="D2581" s="78">
        <v>54.27</v>
      </c>
    </row>
    <row r="2582" spans="2:4">
      <c r="B2582" s="76">
        <v>44592</v>
      </c>
      <c r="C2582" s="77">
        <v>67.989998</v>
      </c>
      <c r="D2582" s="78">
        <v>55.299999</v>
      </c>
    </row>
    <row r="2583" spans="2:4">
      <c r="B2583" s="76">
        <v>44593</v>
      </c>
      <c r="C2583" s="77">
        <v>70.099997999999999</v>
      </c>
      <c r="D2583" s="78">
        <v>55.700001</v>
      </c>
    </row>
    <row r="2584" spans="2:4">
      <c r="B2584" s="76">
        <v>44594</v>
      </c>
      <c r="C2584" s="77">
        <v>71.550003000000004</v>
      </c>
      <c r="D2584" s="78">
        <v>56.18</v>
      </c>
    </row>
    <row r="2585" spans="2:4">
      <c r="B2585" s="76">
        <v>44595</v>
      </c>
      <c r="C2585" s="77">
        <v>69.489998</v>
      </c>
      <c r="D2585" s="78">
        <v>54.849997999999999</v>
      </c>
    </row>
    <row r="2586" spans="2:4">
      <c r="B2586" s="76">
        <v>44596</v>
      </c>
      <c r="C2586" s="77">
        <v>66.809997999999993</v>
      </c>
      <c r="D2586" s="78">
        <v>55.16</v>
      </c>
    </row>
    <row r="2587" spans="2:4">
      <c r="B2587" s="76">
        <v>44599</v>
      </c>
      <c r="C2587" s="77">
        <v>67.519997000000004</v>
      </c>
      <c r="D2587" s="78">
        <v>54.970001000000003</v>
      </c>
    </row>
    <row r="2588" spans="2:4">
      <c r="B2588" s="76">
        <v>44600</v>
      </c>
      <c r="C2588" s="77">
        <v>70.069999999999993</v>
      </c>
      <c r="D2588" s="78">
        <v>55.470001000000003</v>
      </c>
    </row>
    <row r="2589" spans="2:4">
      <c r="B2589" s="76">
        <v>44601</v>
      </c>
      <c r="C2589" s="77">
        <v>71.480002999999996</v>
      </c>
      <c r="D2589" s="78">
        <v>56.299999</v>
      </c>
    </row>
    <row r="2590" spans="2:4">
      <c r="B2590" s="76">
        <v>44602</v>
      </c>
      <c r="C2590" s="77">
        <v>69.029999000000004</v>
      </c>
      <c r="D2590" s="78">
        <v>55.32</v>
      </c>
    </row>
    <row r="2591" spans="2:4">
      <c r="B2591" s="76">
        <v>44603</v>
      </c>
      <c r="C2591" s="77">
        <v>68.379997000000003</v>
      </c>
      <c r="D2591" s="78">
        <v>54.27</v>
      </c>
    </row>
    <row r="2592" spans="2:4">
      <c r="B2592" s="76">
        <v>44606</v>
      </c>
      <c r="C2592" s="77">
        <v>68.779999000000004</v>
      </c>
      <c r="D2592" s="78">
        <v>54.099997999999999</v>
      </c>
    </row>
    <row r="2593" spans="2:4">
      <c r="B2593" s="76">
        <v>44607</v>
      </c>
      <c r="C2593" s="77">
        <v>71.339995999999999</v>
      </c>
      <c r="D2593" s="78">
        <v>54.939999</v>
      </c>
    </row>
    <row r="2594" spans="2:4">
      <c r="B2594" s="76">
        <v>44608</v>
      </c>
      <c r="C2594" s="77">
        <v>71.169998000000007</v>
      </c>
      <c r="D2594" s="78">
        <v>55.040000999999997</v>
      </c>
    </row>
    <row r="2595" spans="2:4">
      <c r="B2595" s="76">
        <v>44609</v>
      </c>
      <c r="C2595" s="77">
        <v>69.050003000000004</v>
      </c>
      <c r="D2595" s="78">
        <v>53.900002000000001</v>
      </c>
    </row>
    <row r="2596" spans="2:4">
      <c r="B2596" s="76">
        <v>44610</v>
      </c>
      <c r="C2596" s="77">
        <v>71.720000999999996</v>
      </c>
      <c r="D2596" s="78">
        <v>53.529998999999997</v>
      </c>
    </row>
    <row r="2597" spans="2:4">
      <c r="B2597" s="76">
        <v>44614</v>
      </c>
      <c r="C2597" s="77">
        <v>69.360000999999997</v>
      </c>
      <c r="D2597" s="78">
        <v>52.959999000000003</v>
      </c>
    </row>
    <row r="2598" spans="2:4">
      <c r="B2598" s="76">
        <v>44615</v>
      </c>
      <c r="C2598" s="77">
        <v>66.620002999999997</v>
      </c>
      <c r="D2598" s="78">
        <v>52.009998000000003</v>
      </c>
    </row>
    <row r="2599" spans="2:4">
      <c r="B2599" s="76">
        <v>44616</v>
      </c>
      <c r="C2599" s="77">
        <v>69.540001000000004</v>
      </c>
      <c r="D2599" s="78">
        <v>52.759998000000003</v>
      </c>
    </row>
    <row r="2600" spans="2:4">
      <c r="B2600" s="76">
        <v>44617</v>
      </c>
      <c r="C2600" s="77">
        <v>72.720000999999996</v>
      </c>
      <c r="D2600" s="78">
        <v>53.98</v>
      </c>
    </row>
    <row r="2601" spans="2:4">
      <c r="B2601" s="76">
        <v>44620</v>
      </c>
      <c r="C2601" s="77">
        <v>74.419998000000007</v>
      </c>
      <c r="D2601" s="78">
        <v>53.869999</v>
      </c>
    </row>
    <row r="2602" spans="2:4">
      <c r="B2602" s="76">
        <v>44621</v>
      </c>
      <c r="C2602" s="77">
        <v>73.050003000000004</v>
      </c>
      <c r="D2602" s="78">
        <v>53.02</v>
      </c>
    </row>
    <row r="2603" spans="2:4">
      <c r="B2603" s="76">
        <v>44622</v>
      </c>
      <c r="C2603" s="77">
        <v>77.269997000000004</v>
      </c>
      <c r="D2603" s="78">
        <v>53.990001999999997</v>
      </c>
    </row>
    <row r="2604" spans="2:4">
      <c r="B2604" s="76">
        <v>44623</v>
      </c>
      <c r="C2604" s="77">
        <v>74.870002999999997</v>
      </c>
      <c r="D2604" s="78">
        <v>53.720001000000003</v>
      </c>
    </row>
    <row r="2605" spans="2:4">
      <c r="B2605" s="76">
        <v>44624</v>
      </c>
      <c r="C2605" s="77">
        <v>74.110000999999997</v>
      </c>
      <c r="D2605" s="78">
        <v>53.310001</v>
      </c>
    </row>
    <row r="2606" spans="2:4">
      <c r="B2606" s="76">
        <v>44627</v>
      </c>
      <c r="C2606" s="77">
        <v>67.919998000000007</v>
      </c>
      <c r="D2606" s="78">
        <v>51.709999000000003</v>
      </c>
    </row>
    <row r="2607" spans="2:4">
      <c r="B2607" s="76">
        <v>44628</v>
      </c>
      <c r="C2607" s="77">
        <v>70.569999999999993</v>
      </c>
      <c r="D2607" s="78">
        <v>51.360000999999997</v>
      </c>
    </row>
    <row r="2608" spans="2:4">
      <c r="B2608" s="76">
        <v>44629</v>
      </c>
      <c r="C2608" s="77">
        <v>73.849997999999999</v>
      </c>
      <c r="D2608" s="78">
        <v>52.73</v>
      </c>
    </row>
    <row r="2609" spans="2:4">
      <c r="B2609" s="76">
        <v>44630</v>
      </c>
      <c r="C2609" s="77">
        <v>74.660004000000001</v>
      </c>
      <c r="D2609" s="78">
        <v>52.52</v>
      </c>
    </row>
    <row r="2610" spans="2:4">
      <c r="B2610" s="76">
        <v>44631</v>
      </c>
      <c r="C2610" s="77">
        <v>74.330001999999993</v>
      </c>
      <c r="D2610" s="78">
        <v>51.849997999999999</v>
      </c>
    </row>
    <row r="2611" spans="2:4">
      <c r="B2611" s="76">
        <v>44634</v>
      </c>
      <c r="C2611" s="77">
        <v>70.010002</v>
      </c>
      <c r="D2611" s="78">
        <v>51.439999</v>
      </c>
    </row>
    <row r="2612" spans="2:4">
      <c r="B2612" s="76">
        <v>44635</v>
      </c>
      <c r="C2612" s="77">
        <v>73.360000999999997</v>
      </c>
      <c r="D2612" s="78">
        <v>52.52</v>
      </c>
    </row>
    <row r="2613" spans="2:4">
      <c r="B2613" s="76">
        <v>44636</v>
      </c>
      <c r="C2613" s="77">
        <v>75.269997000000004</v>
      </c>
      <c r="D2613" s="78">
        <v>53.709999000000003</v>
      </c>
    </row>
    <row r="2614" spans="2:4">
      <c r="B2614" s="76">
        <v>44637</v>
      </c>
      <c r="C2614" s="77">
        <v>76.900002000000001</v>
      </c>
      <c r="D2614" s="78">
        <v>54.380001</v>
      </c>
    </row>
    <row r="2615" spans="2:4">
      <c r="B2615" s="76">
        <v>44638</v>
      </c>
      <c r="C2615" s="77">
        <v>78.290001000000004</v>
      </c>
      <c r="D2615" s="78">
        <v>55</v>
      </c>
    </row>
    <row r="2616" spans="2:4">
      <c r="B2616" s="76">
        <v>44641</v>
      </c>
      <c r="C2616" s="77">
        <v>76.360000999999997</v>
      </c>
      <c r="D2616" s="78">
        <v>54.759998000000003</v>
      </c>
    </row>
    <row r="2617" spans="2:4">
      <c r="B2617" s="76">
        <v>44642</v>
      </c>
      <c r="C2617" s="77">
        <v>76.300003000000004</v>
      </c>
      <c r="D2617" s="78">
        <v>55.369999</v>
      </c>
    </row>
    <row r="2618" spans="2:4">
      <c r="B2618" s="76">
        <v>44643</v>
      </c>
      <c r="C2618" s="77">
        <v>73.489998</v>
      </c>
      <c r="D2618" s="78">
        <v>54.669998</v>
      </c>
    </row>
    <row r="2619" spans="2:4">
      <c r="B2619" s="76">
        <v>44644</v>
      </c>
      <c r="C2619" s="77">
        <v>69.529999000000004</v>
      </c>
      <c r="D2619" s="78">
        <v>55.459999000000003</v>
      </c>
    </row>
    <row r="2620" spans="2:4">
      <c r="B2620" s="76">
        <v>44645</v>
      </c>
      <c r="C2620" s="77">
        <v>67.959998999999996</v>
      </c>
      <c r="D2620" s="78">
        <v>55.700001</v>
      </c>
    </row>
    <row r="2621" spans="2:4">
      <c r="B2621" s="76">
        <v>44648</v>
      </c>
      <c r="C2621" s="77">
        <v>69.330001999999993</v>
      </c>
      <c r="D2621" s="78">
        <v>56.07</v>
      </c>
    </row>
    <row r="2622" spans="2:4">
      <c r="B2622" s="76">
        <v>44649</v>
      </c>
      <c r="C2622" s="77">
        <v>71.849997999999999</v>
      </c>
      <c r="D2622" s="78">
        <v>56.810001</v>
      </c>
    </row>
    <row r="2623" spans="2:4">
      <c r="B2623" s="76">
        <v>44650</v>
      </c>
      <c r="C2623" s="77">
        <v>67.949996999999996</v>
      </c>
      <c r="D2623" s="78">
        <v>56.380001</v>
      </c>
    </row>
    <row r="2624" spans="2:4">
      <c r="B2624" s="76">
        <v>44651</v>
      </c>
      <c r="C2624" s="77">
        <v>64.540001000000004</v>
      </c>
      <c r="D2624" s="78">
        <v>55.580002</v>
      </c>
    </row>
    <row r="2625" spans="2:4">
      <c r="B2625" s="76">
        <v>44652</v>
      </c>
      <c r="C2625" s="77">
        <v>64.199996999999996</v>
      </c>
      <c r="D2625" s="78">
        <v>55.759998000000003</v>
      </c>
    </row>
    <row r="2626" spans="2:4">
      <c r="B2626" s="76">
        <v>44655</v>
      </c>
      <c r="C2626" s="77">
        <v>64.919998000000007</v>
      </c>
      <c r="D2626" s="78">
        <v>56.150002000000001</v>
      </c>
    </row>
    <row r="2627" spans="2:4">
      <c r="B2627" s="76">
        <v>44656</v>
      </c>
      <c r="C2627" s="77">
        <v>62.639999000000003</v>
      </c>
      <c r="D2627" s="78">
        <v>55.470001000000003</v>
      </c>
    </row>
    <row r="2628" spans="2:4">
      <c r="B2628" s="76">
        <v>44657</v>
      </c>
      <c r="C2628" s="77">
        <v>59.939999</v>
      </c>
      <c r="D2628" s="78">
        <v>54.900002000000001</v>
      </c>
    </row>
    <row r="2629" spans="2:4">
      <c r="B2629" s="76">
        <v>44658</v>
      </c>
      <c r="C2629" s="77">
        <v>59.869999</v>
      </c>
      <c r="D2629" s="78">
        <v>55.139999000000003</v>
      </c>
    </row>
    <row r="2630" spans="2:4">
      <c r="B2630" s="76">
        <v>44659</v>
      </c>
      <c r="C2630" s="77">
        <v>59.860000999999997</v>
      </c>
      <c r="D2630" s="78">
        <v>54.98</v>
      </c>
    </row>
    <row r="2631" spans="2:4">
      <c r="B2631" s="76">
        <v>44662</v>
      </c>
      <c r="C2631" s="77">
        <v>60.759998000000003</v>
      </c>
      <c r="D2631" s="78">
        <v>54.049999</v>
      </c>
    </row>
    <row r="2632" spans="2:4">
      <c r="B2632" s="76">
        <v>44663</v>
      </c>
      <c r="C2632" s="77">
        <v>60.330002</v>
      </c>
      <c r="D2632" s="78">
        <v>53.93</v>
      </c>
    </row>
    <row r="2633" spans="2:4">
      <c r="B2633" s="76">
        <v>44664</v>
      </c>
      <c r="C2633" s="77">
        <v>62.110000999999997</v>
      </c>
      <c r="D2633" s="78">
        <v>54.580002</v>
      </c>
    </row>
    <row r="2634" spans="2:4">
      <c r="B2634" s="76">
        <v>44665</v>
      </c>
      <c r="C2634" s="77">
        <v>61.16</v>
      </c>
      <c r="D2634" s="78">
        <v>53.93</v>
      </c>
    </row>
    <row r="2635" spans="2:4">
      <c r="B2635" s="76">
        <v>44669</v>
      </c>
      <c r="C2635" s="77">
        <v>60.799999</v>
      </c>
      <c r="D2635" s="78">
        <v>53.93</v>
      </c>
    </row>
    <row r="2636" spans="2:4">
      <c r="B2636" s="76">
        <v>44670</v>
      </c>
      <c r="C2636" s="77">
        <v>63.630001</v>
      </c>
      <c r="D2636" s="78">
        <v>54.799999</v>
      </c>
    </row>
    <row r="2637" spans="2:4">
      <c r="B2637" s="76">
        <v>44671</v>
      </c>
      <c r="C2637" s="77">
        <v>64.989998</v>
      </c>
      <c r="D2637" s="78">
        <v>54.810001</v>
      </c>
    </row>
    <row r="2638" spans="2:4">
      <c r="B2638" s="76">
        <v>44672</v>
      </c>
      <c r="C2638" s="77">
        <v>62.389999000000003</v>
      </c>
      <c r="D2638" s="78">
        <v>54</v>
      </c>
    </row>
    <row r="2639" spans="2:4">
      <c r="B2639" s="76">
        <v>44673</v>
      </c>
      <c r="C2639" s="77">
        <v>61.41</v>
      </c>
      <c r="D2639" s="78">
        <v>52.52</v>
      </c>
    </row>
    <row r="2640" spans="2:4">
      <c r="B2640" s="76">
        <v>44676</v>
      </c>
      <c r="C2640" s="77">
        <v>65.849997999999999</v>
      </c>
      <c r="D2640" s="78">
        <v>52.810001</v>
      </c>
    </row>
    <row r="2641" spans="2:4">
      <c r="B2641" s="76">
        <v>44677</v>
      </c>
      <c r="C2641" s="77">
        <v>61.360000999999997</v>
      </c>
      <c r="D2641" s="78">
        <v>51.299999</v>
      </c>
    </row>
    <row r="2642" spans="2:4">
      <c r="B2642" s="76">
        <v>44678</v>
      </c>
      <c r="C2642" s="77">
        <v>60.419998</v>
      </c>
      <c r="D2642" s="78">
        <v>51.41</v>
      </c>
    </row>
    <row r="2643" spans="2:4">
      <c r="B2643" s="76">
        <v>44679</v>
      </c>
      <c r="C2643" s="77">
        <v>63.970001000000003</v>
      </c>
      <c r="D2643" s="78">
        <v>52.650002000000001</v>
      </c>
    </row>
    <row r="2644" spans="2:4">
      <c r="B2644" s="76">
        <v>44680</v>
      </c>
      <c r="C2644" s="77">
        <v>61.57</v>
      </c>
      <c r="D2644" s="78">
        <v>50.810001</v>
      </c>
    </row>
    <row r="2645" spans="2:4">
      <c r="B2645" s="76">
        <v>44683</v>
      </c>
      <c r="C2645" s="77">
        <v>63.279998999999997</v>
      </c>
      <c r="D2645" s="78">
        <v>51.09</v>
      </c>
    </row>
    <row r="2646" spans="2:4">
      <c r="B2646" s="76">
        <v>44684</v>
      </c>
      <c r="C2646" s="77">
        <v>64.830001999999993</v>
      </c>
      <c r="D2646" s="78">
        <v>51.369999</v>
      </c>
    </row>
    <row r="2647" spans="2:4">
      <c r="B2647" s="76">
        <v>44685</v>
      </c>
      <c r="C2647" s="77">
        <v>68.610000999999997</v>
      </c>
      <c r="D2647" s="78">
        <v>52.849997999999999</v>
      </c>
    </row>
    <row r="2648" spans="2:4">
      <c r="B2648" s="76">
        <v>44686</v>
      </c>
      <c r="C2648" s="77">
        <v>65.910004000000001</v>
      </c>
      <c r="D2648" s="78">
        <v>51</v>
      </c>
    </row>
    <row r="2649" spans="2:4">
      <c r="B2649" s="76">
        <v>44687</v>
      </c>
      <c r="C2649" s="77">
        <v>65.089995999999999</v>
      </c>
      <c r="D2649" s="78">
        <v>50.669998</v>
      </c>
    </row>
    <row r="2650" spans="2:4">
      <c r="B2650" s="76">
        <v>44690</v>
      </c>
      <c r="C2650" s="77">
        <v>64.75</v>
      </c>
      <c r="D2650" s="78">
        <v>49.049999</v>
      </c>
    </row>
    <row r="2651" spans="2:4">
      <c r="B2651" s="76">
        <v>44691</v>
      </c>
      <c r="C2651" s="77">
        <v>65.129997000000003</v>
      </c>
      <c r="D2651" s="78">
        <v>49.18</v>
      </c>
    </row>
    <row r="2652" spans="2:4">
      <c r="B2652" s="76">
        <v>44692</v>
      </c>
      <c r="C2652" s="77">
        <v>62.990001999999997</v>
      </c>
      <c r="D2652" s="78">
        <v>48.369999</v>
      </c>
    </row>
    <row r="2653" spans="2:4">
      <c r="B2653" s="76">
        <v>44693</v>
      </c>
      <c r="C2653" s="77">
        <v>64</v>
      </c>
      <c r="D2653" s="78">
        <v>48.349997999999999</v>
      </c>
    </row>
    <row r="2654" spans="2:4">
      <c r="B2654" s="76">
        <v>44694</v>
      </c>
      <c r="C2654" s="77">
        <v>66.889999000000003</v>
      </c>
      <c r="D2654" s="78">
        <v>49.509998000000003</v>
      </c>
    </row>
    <row r="2655" spans="2:4">
      <c r="B2655" s="76">
        <v>44697</v>
      </c>
      <c r="C2655" s="77">
        <v>66.720000999999996</v>
      </c>
      <c r="D2655" s="78">
        <v>49.32</v>
      </c>
    </row>
    <row r="2656" spans="2:4">
      <c r="B2656" s="76">
        <v>44698</v>
      </c>
      <c r="C2656" s="77">
        <v>68.360000999999997</v>
      </c>
      <c r="D2656" s="78">
        <v>50.330002</v>
      </c>
    </row>
    <row r="2657" spans="2:4">
      <c r="B2657" s="76">
        <v>44699</v>
      </c>
      <c r="C2657" s="77">
        <v>62.990001999999997</v>
      </c>
      <c r="D2657" s="78">
        <v>48.349997999999999</v>
      </c>
    </row>
    <row r="2658" spans="2:4">
      <c r="B2658" s="76">
        <v>44700</v>
      </c>
      <c r="C2658" s="77">
        <v>62.709999000000003</v>
      </c>
      <c r="D2658" s="78">
        <v>48.080002</v>
      </c>
    </row>
    <row r="2659" spans="2:4">
      <c r="B2659" s="76">
        <v>44701</v>
      </c>
      <c r="C2659" s="77">
        <v>60.82</v>
      </c>
      <c r="D2659" s="78">
        <v>48.049999</v>
      </c>
    </row>
    <row r="2660" spans="2:4">
      <c r="B2660" s="76">
        <v>44704</v>
      </c>
      <c r="C2660" s="77">
        <v>62.5</v>
      </c>
      <c r="D2660" s="78">
        <v>48.919998</v>
      </c>
    </row>
    <row r="2661" spans="2:4">
      <c r="B2661" s="76">
        <v>44705</v>
      </c>
      <c r="C2661" s="77">
        <v>59.040000999999997</v>
      </c>
      <c r="D2661" s="78">
        <v>48.549999</v>
      </c>
    </row>
    <row r="2662" spans="2:4">
      <c r="B2662" s="76">
        <v>44706</v>
      </c>
      <c r="C2662" s="77">
        <v>62.240001999999997</v>
      </c>
      <c r="D2662" s="78">
        <v>49.040000999999997</v>
      </c>
    </row>
    <row r="2663" spans="2:4">
      <c r="B2663" s="76">
        <v>44707</v>
      </c>
      <c r="C2663" s="77">
        <v>66.269997000000004</v>
      </c>
      <c r="D2663" s="78">
        <v>50.029998999999997</v>
      </c>
    </row>
    <row r="2664" spans="2:4">
      <c r="B2664" s="76">
        <v>44708</v>
      </c>
      <c r="C2664" s="77">
        <v>66.760002</v>
      </c>
      <c r="D2664" s="78">
        <v>51.220001000000003</v>
      </c>
    </row>
    <row r="2665" spans="2:4">
      <c r="B2665" s="76">
        <v>44712</v>
      </c>
      <c r="C2665" s="77">
        <v>65.089995999999999</v>
      </c>
      <c r="D2665" s="78">
        <v>50.939999</v>
      </c>
    </row>
    <row r="2666" spans="2:4">
      <c r="B2666" s="76">
        <v>44713</v>
      </c>
      <c r="C2666" s="77">
        <v>63.810001</v>
      </c>
      <c r="D2666" s="78">
        <v>50.549999</v>
      </c>
    </row>
    <row r="2667" spans="2:4">
      <c r="B2667" s="76">
        <v>44714</v>
      </c>
      <c r="C2667" s="77">
        <v>65.870002999999997</v>
      </c>
      <c r="D2667" s="78">
        <v>51.509998000000003</v>
      </c>
    </row>
    <row r="2668" spans="2:4">
      <c r="B2668" s="76">
        <v>44715</v>
      </c>
      <c r="C2668" s="77">
        <v>65.800003000000004</v>
      </c>
      <c r="D2668" s="78">
        <v>50.669998</v>
      </c>
    </row>
    <row r="2669" spans="2:4">
      <c r="B2669" s="76">
        <v>44718</v>
      </c>
      <c r="C2669" s="77">
        <v>66.569999999999993</v>
      </c>
      <c r="D2669" s="78">
        <v>50.860000999999997</v>
      </c>
    </row>
    <row r="2670" spans="2:4">
      <c r="B2670" s="76">
        <v>44719</v>
      </c>
      <c r="C2670" s="77">
        <v>67.660004000000001</v>
      </c>
      <c r="D2670" s="78">
        <v>51.360000999999997</v>
      </c>
    </row>
    <row r="2671" spans="2:4">
      <c r="B2671" s="76">
        <v>44720</v>
      </c>
      <c r="C2671" s="77">
        <v>65.519997000000004</v>
      </c>
      <c r="D2671" s="78">
        <v>50.75</v>
      </c>
    </row>
    <row r="2672" spans="2:4">
      <c r="B2672" s="76">
        <v>44721</v>
      </c>
      <c r="C2672" s="77">
        <v>65.169998000000007</v>
      </c>
      <c r="D2672" s="78">
        <v>49.59</v>
      </c>
    </row>
    <row r="2673" spans="2:4">
      <c r="B2673" s="76">
        <v>44722</v>
      </c>
      <c r="C2673" s="77">
        <v>60.169998</v>
      </c>
      <c r="D2673" s="78">
        <v>48.16</v>
      </c>
    </row>
    <row r="2674" spans="2:4">
      <c r="B2674" s="76">
        <v>44725</v>
      </c>
      <c r="C2674" s="77">
        <v>55.470001000000003</v>
      </c>
      <c r="D2674" s="78">
        <v>46.290000999999997</v>
      </c>
    </row>
    <row r="2675" spans="2:4">
      <c r="B2675" s="76">
        <v>44726</v>
      </c>
      <c r="C2675" s="77">
        <v>55.099997999999999</v>
      </c>
      <c r="D2675" s="78">
        <v>46.099997999999999</v>
      </c>
    </row>
    <row r="2676" spans="2:4">
      <c r="B2676" s="76">
        <v>44727</v>
      </c>
      <c r="C2676" s="77">
        <v>55.459999000000003</v>
      </c>
      <c r="D2676" s="78">
        <v>46.75</v>
      </c>
    </row>
    <row r="2677" spans="2:4">
      <c r="B2677" s="76">
        <v>44728</v>
      </c>
      <c r="C2677" s="77">
        <v>50.48</v>
      </c>
      <c r="D2677" s="78">
        <v>45.189999</v>
      </c>
    </row>
    <row r="2678" spans="2:4">
      <c r="B2678" s="76">
        <v>44729</v>
      </c>
      <c r="C2678" s="77">
        <v>50.48</v>
      </c>
      <c r="D2678" s="78">
        <v>45.310001</v>
      </c>
    </row>
    <row r="2679" spans="2:4">
      <c r="B2679" s="76">
        <v>44733</v>
      </c>
      <c r="C2679" s="77">
        <v>50.900002000000001</v>
      </c>
      <c r="D2679" s="78">
        <v>46.16</v>
      </c>
    </row>
    <row r="2680" spans="2:4">
      <c r="B2680" s="76">
        <v>44734</v>
      </c>
      <c r="C2680" s="77">
        <v>50.02</v>
      </c>
      <c r="D2680" s="78">
        <v>46.09</v>
      </c>
    </row>
    <row r="2681" spans="2:4">
      <c r="B2681" s="76">
        <v>44735</v>
      </c>
      <c r="C2681" s="77">
        <v>51.119999</v>
      </c>
      <c r="D2681" s="78">
        <v>46.540000999999997</v>
      </c>
    </row>
    <row r="2682" spans="2:4">
      <c r="B2682" s="76">
        <v>44736</v>
      </c>
      <c r="C2682" s="77">
        <v>52.799999</v>
      </c>
      <c r="D2682" s="78">
        <v>48</v>
      </c>
    </row>
    <row r="2683" spans="2:4">
      <c r="B2683" s="76">
        <v>44739</v>
      </c>
      <c r="C2683" s="77">
        <v>53.439999</v>
      </c>
      <c r="D2683" s="78">
        <v>47.880001</v>
      </c>
    </row>
    <row r="2684" spans="2:4">
      <c r="B2684" s="76">
        <v>44740</v>
      </c>
      <c r="C2684" s="77">
        <v>52.650002000000001</v>
      </c>
      <c r="D2684" s="78">
        <v>46.91</v>
      </c>
    </row>
    <row r="2685" spans="2:4">
      <c r="B2685" s="76">
        <v>44741</v>
      </c>
      <c r="C2685" s="77">
        <v>52.669998</v>
      </c>
      <c r="D2685" s="78">
        <v>46.860000999999997</v>
      </c>
    </row>
    <row r="2686" spans="2:4">
      <c r="B2686" s="76">
        <v>44742</v>
      </c>
      <c r="C2686" s="77">
        <v>53.700001</v>
      </c>
      <c r="D2686" s="78">
        <v>46.48</v>
      </c>
    </row>
    <row r="2687" spans="2:4">
      <c r="B2687" s="76">
        <v>44743</v>
      </c>
      <c r="C2687" s="77">
        <v>57.459999000000003</v>
      </c>
      <c r="D2687" s="78">
        <v>46.93</v>
      </c>
    </row>
    <row r="2688" spans="2:4">
      <c r="B2688" s="76">
        <v>44747</v>
      </c>
      <c r="C2688" s="77">
        <v>58.689999</v>
      </c>
      <c r="D2688" s="78">
        <v>47.040000999999997</v>
      </c>
    </row>
    <row r="2689" spans="2:4">
      <c r="B2689" s="76">
        <v>44748</v>
      </c>
      <c r="C2689" s="77">
        <v>58.860000999999997</v>
      </c>
      <c r="D2689" s="78">
        <v>47.16</v>
      </c>
    </row>
    <row r="2690" spans="2:4">
      <c r="B2690" s="76">
        <v>44749</v>
      </c>
      <c r="C2690" s="77">
        <v>60.52</v>
      </c>
      <c r="D2690" s="78">
        <v>47.880001</v>
      </c>
    </row>
    <row r="2691" spans="2:4">
      <c r="B2691" s="76">
        <v>44750</v>
      </c>
      <c r="C2691" s="77">
        <v>60.740001999999997</v>
      </c>
      <c r="D2691" s="78">
        <v>47.849997999999999</v>
      </c>
    </row>
    <row r="2692" spans="2:4">
      <c r="B2692" s="76">
        <v>44753</v>
      </c>
      <c r="C2692" s="77">
        <v>59.98</v>
      </c>
      <c r="D2692" s="78">
        <v>47.279998999999997</v>
      </c>
    </row>
    <row r="2693" spans="2:4">
      <c r="B2693" s="76">
        <v>44754</v>
      </c>
      <c r="C2693" s="77">
        <v>62.509998000000003</v>
      </c>
      <c r="D2693" s="78">
        <v>46.91</v>
      </c>
    </row>
    <row r="2694" spans="2:4">
      <c r="B2694" s="76">
        <v>44755</v>
      </c>
      <c r="C2694" s="77">
        <v>63.110000999999997</v>
      </c>
      <c r="D2694" s="78">
        <v>46.68</v>
      </c>
    </row>
    <row r="2695" spans="2:4">
      <c r="B2695" s="76">
        <v>44756</v>
      </c>
      <c r="C2695" s="77">
        <v>62.849997999999999</v>
      </c>
      <c r="D2695" s="78">
        <v>46.540000999999997</v>
      </c>
    </row>
    <row r="2696" spans="2:4">
      <c r="B2696" s="76">
        <v>44757</v>
      </c>
      <c r="C2696" s="77">
        <v>63.84</v>
      </c>
      <c r="D2696" s="78">
        <v>47.389999000000003</v>
      </c>
    </row>
    <row r="2697" spans="2:4">
      <c r="B2697" s="76">
        <v>44760</v>
      </c>
      <c r="C2697" s="77">
        <v>63.720001000000003</v>
      </c>
      <c r="D2697" s="78">
        <v>47.029998999999997</v>
      </c>
    </row>
    <row r="2698" spans="2:4">
      <c r="B2698" s="76">
        <v>44761</v>
      </c>
      <c r="C2698" s="77">
        <v>65.370002999999997</v>
      </c>
      <c r="D2698" s="78">
        <v>48.369999</v>
      </c>
    </row>
    <row r="2699" spans="2:4">
      <c r="B2699" s="76">
        <v>44762</v>
      </c>
      <c r="C2699" s="77">
        <v>66.120002999999997</v>
      </c>
      <c r="D2699" s="78">
        <v>48.650002000000001</v>
      </c>
    </row>
    <row r="2700" spans="2:4">
      <c r="B2700" s="76">
        <v>44763</v>
      </c>
      <c r="C2700" s="77">
        <v>65.690002000000007</v>
      </c>
      <c r="D2700" s="78">
        <v>49.16</v>
      </c>
    </row>
    <row r="2701" spans="2:4">
      <c r="B2701" s="76">
        <v>44764</v>
      </c>
      <c r="C2701" s="77">
        <v>65.559997999999993</v>
      </c>
      <c r="D2701" s="78">
        <v>48.68</v>
      </c>
    </row>
    <row r="2702" spans="2:4">
      <c r="B2702" s="76">
        <v>44767</v>
      </c>
      <c r="C2702" s="77">
        <v>65.180000000000007</v>
      </c>
      <c r="D2702" s="78">
        <v>48.790000999999997</v>
      </c>
    </row>
    <row r="2703" spans="2:4">
      <c r="B2703" s="76">
        <v>44768</v>
      </c>
      <c r="C2703" s="77">
        <v>64.339995999999999</v>
      </c>
      <c r="D2703" s="78">
        <v>48.240001999999997</v>
      </c>
    </row>
    <row r="2704" spans="2:4">
      <c r="B2704" s="76">
        <v>44769</v>
      </c>
      <c r="C2704" s="77">
        <v>65.239998</v>
      </c>
      <c r="D2704" s="78">
        <v>49.459999000000003</v>
      </c>
    </row>
    <row r="2705" spans="2:4">
      <c r="B2705" s="76">
        <v>44770</v>
      </c>
      <c r="C2705" s="77">
        <v>65.830001999999993</v>
      </c>
      <c r="D2705" s="78">
        <v>50.040000999999997</v>
      </c>
    </row>
    <row r="2706" spans="2:4">
      <c r="B2706" s="76">
        <v>44771</v>
      </c>
      <c r="C2706" s="77">
        <v>68</v>
      </c>
      <c r="D2706" s="78">
        <v>50.82</v>
      </c>
    </row>
    <row r="2707" spans="2:4">
      <c r="B2707" s="76">
        <v>44774</v>
      </c>
      <c r="C2707" s="77">
        <v>73.339995999999999</v>
      </c>
      <c r="D2707" s="78">
        <v>50.669998</v>
      </c>
    </row>
    <row r="2708" spans="2:4">
      <c r="B2708" s="76">
        <v>44775</v>
      </c>
      <c r="C2708" s="77">
        <v>70.269997000000004</v>
      </c>
      <c r="D2708" s="78">
        <v>50.299999</v>
      </c>
    </row>
    <row r="2709" spans="2:4">
      <c r="B2709" s="76">
        <v>44776</v>
      </c>
      <c r="C2709" s="77">
        <v>69.010002</v>
      </c>
      <c r="D2709" s="78">
        <v>51.09</v>
      </c>
    </row>
    <row r="2710" spans="2:4">
      <c r="B2710" s="76">
        <v>44777</v>
      </c>
      <c r="C2710" s="77">
        <v>70.809997999999993</v>
      </c>
      <c r="D2710" s="78">
        <v>51.029998999999997</v>
      </c>
    </row>
    <row r="2711" spans="2:4">
      <c r="B2711" s="76">
        <v>44778</v>
      </c>
      <c r="C2711" s="77">
        <v>68.370002999999997</v>
      </c>
      <c r="D2711" s="78">
        <v>50.93</v>
      </c>
    </row>
    <row r="2712" spans="2:4">
      <c r="B2712" s="76">
        <v>44781</v>
      </c>
      <c r="C2712" s="77">
        <v>69.779999000000004</v>
      </c>
      <c r="D2712" s="78">
        <v>50.93</v>
      </c>
    </row>
    <row r="2713" spans="2:4">
      <c r="B2713" s="76">
        <v>44782</v>
      </c>
      <c r="C2713" s="77">
        <v>66.779999000000004</v>
      </c>
      <c r="D2713" s="78">
        <v>50.700001</v>
      </c>
    </row>
    <row r="2714" spans="2:4">
      <c r="B2714" s="76">
        <v>44783</v>
      </c>
      <c r="C2714" s="77">
        <v>68.370002999999997</v>
      </c>
      <c r="D2714" s="78">
        <v>51.779998999999997</v>
      </c>
    </row>
    <row r="2715" spans="2:4">
      <c r="B2715" s="76">
        <v>44784</v>
      </c>
      <c r="C2715" s="77">
        <v>70.260002</v>
      </c>
      <c r="D2715" s="78">
        <v>51.82</v>
      </c>
    </row>
    <row r="2716" spans="2:4">
      <c r="B2716" s="76">
        <v>44785</v>
      </c>
      <c r="C2716" s="77">
        <v>70.75</v>
      </c>
      <c r="D2716" s="78">
        <v>52.689999</v>
      </c>
    </row>
    <row r="2717" spans="2:4">
      <c r="B2717" s="76">
        <v>44788</v>
      </c>
      <c r="C2717" s="77">
        <v>69.660004000000001</v>
      </c>
      <c r="D2717" s="78">
        <v>52.900002000000001</v>
      </c>
    </row>
    <row r="2718" spans="2:4">
      <c r="B2718" s="76">
        <v>44789</v>
      </c>
      <c r="C2718" s="77">
        <v>69.209998999999996</v>
      </c>
      <c r="D2718" s="78">
        <v>53.040000999999997</v>
      </c>
    </row>
    <row r="2719" spans="2:4">
      <c r="B2719" s="76">
        <v>44790</v>
      </c>
      <c r="C2719" s="77">
        <v>67</v>
      </c>
      <c r="D2719" s="78">
        <v>52.639999000000003</v>
      </c>
    </row>
    <row r="2720" spans="2:4">
      <c r="B2720" s="76">
        <v>44791</v>
      </c>
      <c r="C2720" s="77">
        <v>68.430000000000007</v>
      </c>
      <c r="D2720" s="78">
        <v>52.759998000000003</v>
      </c>
    </row>
    <row r="2721" spans="2:4">
      <c r="B2721" s="76">
        <v>44792</v>
      </c>
      <c r="C2721" s="77">
        <v>66.319999999999993</v>
      </c>
      <c r="D2721" s="78">
        <v>52.080002</v>
      </c>
    </row>
    <row r="2722" spans="2:4">
      <c r="B2722" s="76">
        <v>44795</v>
      </c>
      <c r="C2722" s="77">
        <v>64.779999000000004</v>
      </c>
      <c r="D2722" s="78">
        <v>50.950001</v>
      </c>
    </row>
    <row r="2723" spans="2:4">
      <c r="B2723" s="76">
        <v>44796</v>
      </c>
      <c r="C2723" s="77">
        <v>64.199996999999996</v>
      </c>
      <c r="D2723" s="78">
        <v>50.860000999999997</v>
      </c>
    </row>
    <row r="2724" spans="2:4">
      <c r="B2724" s="76">
        <v>44797</v>
      </c>
      <c r="C2724" s="77">
        <v>64.440002000000007</v>
      </c>
      <c r="D2724" s="78">
        <v>50.990001999999997</v>
      </c>
    </row>
    <row r="2725" spans="2:4">
      <c r="B2725" s="76">
        <v>44798</v>
      </c>
      <c r="C2725" s="77">
        <v>65.269997000000004</v>
      </c>
      <c r="D2725" s="78">
        <v>51.73</v>
      </c>
    </row>
    <row r="2726" spans="2:4">
      <c r="B2726" s="76">
        <v>44799</v>
      </c>
      <c r="C2726" s="77">
        <v>62.099997999999999</v>
      </c>
      <c r="D2726" s="78">
        <v>50.040000999999997</v>
      </c>
    </row>
    <row r="2727" spans="2:4">
      <c r="B2727" s="76">
        <v>44802</v>
      </c>
      <c r="C2727" s="77">
        <v>60.439999</v>
      </c>
      <c r="D2727" s="78">
        <v>49.689999</v>
      </c>
    </row>
    <row r="2728" spans="2:4">
      <c r="B2728" s="76">
        <v>44803</v>
      </c>
      <c r="C2728" s="77">
        <v>59.849997999999999</v>
      </c>
      <c r="D2728" s="78">
        <v>49.139999000000003</v>
      </c>
    </row>
    <row r="2729" spans="2:4">
      <c r="B2729" s="76">
        <v>44804</v>
      </c>
      <c r="C2729" s="77">
        <v>58.610000999999997</v>
      </c>
      <c r="D2729" s="78">
        <v>48.759998000000003</v>
      </c>
    </row>
    <row r="2730" spans="2:4">
      <c r="B2730" s="76">
        <v>44805</v>
      </c>
      <c r="C2730" s="77">
        <v>58.759998000000003</v>
      </c>
      <c r="D2730" s="78">
        <v>48.869999</v>
      </c>
    </row>
    <row r="2731" spans="2:4">
      <c r="B2731" s="76">
        <v>44806</v>
      </c>
      <c r="C2731" s="77">
        <v>58.57</v>
      </c>
      <c r="D2731" s="78">
        <v>48.369999</v>
      </c>
    </row>
    <row r="2732" spans="2:4">
      <c r="B2732" s="76">
        <v>44810</v>
      </c>
      <c r="C2732" s="77">
        <v>57.639999000000003</v>
      </c>
      <c r="D2732" s="78">
        <v>48.150002000000001</v>
      </c>
    </row>
    <row r="2733" spans="2:4">
      <c r="B2733" s="76">
        <v>44811</v>
      </c>
      <c r="C2733" s="77">
        <v>58.630001</v>
      </c>
      <c r="D2733" s="78">
        <v>49.040000999999997</v>
      </c>
    </row>
    <row r="2734" spans="2:4">
      <c r="B2734" s="76">
        <v>44812</v>
      </c>
      <c r="C2734" s="77">
        <v>58.68</v>
      </c>
      <c r="D2734" s="78">
        <v>49.330002</v>
      </c>
    </row>
    <row r="2735" spans="2:4">
      <c r="B2735" s="76">
        <v>44813</v>
      </c>
      <c r="C2735" s="77">
        <v>61.169998</v>
      </c>
      <c r="D2735" s="78">
        <v>50.130001</v>
      </c>
    </row>
    <row r="2736" spans="2:4">
      <c r="B2736" s="76">
        <v>44816</v>
      </c>
      <c r="C2736" s="77">
        <v>61.41</v>
      </c>
      <c r="D2736" s="78">
        <v>50.669998</v>
      </c>
    </row>
    <row r="2737" spans="2:4">
      <c r="B2737" s="76">
        <v>44817</v>
      </c>
      <c r="C2737" s="77">
        <v>56.610000999999997</v>
      </c>
      <c r="D2737" s="78">
        <v>48.509998000000003</v>
      </c>
    </row>
    <row r="2738" spans="2:4">
      <c r="B2738" s="76">
        <v>44818</v>
      </c>
      <c r="C2738" s="77">
        <v>55.220001000000003</v>
      </c>
      <c r="D2738" s="78">
        <v>48.669998</v>
      </c>
    </row>
    <row r="2739" spans="2:4">
      <c r="B2739" s="76">
        <v>44819</v>
      </c>
      <c r="C2739" s="77">
        <v>55.299999</v>
      </c>
      <c r="D2739" s="78">
        <v>48.139999000000003</v>
      </c>
    </row>
    <row r="2740" spans="2:4">
      <c r="B2740" s="76">
        <v>44820</v>
      </c>
      <c r="C2740" s="77">
        <v>55.41</v>
      </c>
      <c r="D2740" s="78">
        <v>47.77</v>
      </c>
    </row>
    <row r="2741" spans="2:4">
      <c r="B2741" s="76">
        <v>44823</v>
      </c>
      <c r="C2741" s="77">
        <v>57.150002000000001</v>
      </c>
      <c r="D2741" s="78">
        <v>47.900002000000001</v>
      </c>
    </row>
    <row r="2742" spans="2:4">
      <c r="B2742" s="76">
        <v>44824</v>
      </c>
      <c r="C2742" s="77">
        <v>56.310001</v>
      </c>
      <c r="D2742" s="78">
        <v>47.380001</v>
      </c>
    </row>
    <row r="2743" spans="2:4">
      <c r="B2743" s="76">
        <v>44825</v>
      </c>
      <c r="C2743" s="77">
        <v>56.610000999999997</v>
      </c>
      <c r="D2743" s="78">
        <v>46.580002</v>
      </c>
    </row>
    <row r="2744" spans="2:4">
      <c r="B2744" s="76">
        <v>44826</v>
      </c>
      <c r="C2744" s="77">
        <v>55.509998000000003</v>
      </c>
      <c r="D2744" s="78">
        <v>46.130001</v>
      </c>
    </row>
    <row r="2745" spans="2:4">
      <c r="B2745" s="76">
        <v>44827</v>
      </c>
      <c r="C2745" s="77">
        <v>54.139999000000003</v>
      </c>
      <c r="D2745" s="78">
        <v>45.310001</v>
      </c>
    </row>
    <row r="2746" spans="2:4">
      <c r="B2746" s="76">
        <v>44830</v>
      </c>
      <c r="C2746" s="77">
        <v>52.889999000000003</v>
      </c>
      <c r="D2746" s="78">
        <v>44.860000999999997</v>
      </c>
    </row>
    <row r="2747" spans="2:4">
      <c r="B2747" s="76">
        <v>44831</v>
      </c>
      <c r="C2747" s="77">
        <v>54.290000999999997</v>
      </c>
      <c r="D2747" s="78">
        <v>44.759998000000003</v>
      </c>
    </row>
    <row r="2748" spans="2:4">
      <c r="B2748" s="76">
        <v>44832</v>
      </c>
      <c r="C2748" s="77">
        <v>58.459999000000003</v>
      </c>
      <c r="D2748" s="78">
        <v>45.66</v>
      </c>
    </row>
    <row r="2749" spans="2:4">
      <c r="B2749" s="76">
        <v>44833</v>
      </c>
      <c r="C2749" s="77">
        <v>58.200001</v>
      </c>
      <c r="D2749" s="78">
        <v>44.68</v>
      </c>
    </row>
    <row r="2750" spans="2:4">
      <c r="B2750" s="76">
        <v>44834</v>
      </c>
      <c r="C2750" s="77">
        <v>58.919998</v>
      </c>
      <c r="D2750" s="78">
        <v>44.110000999999997</v>
      </c>
    </row>
    <row r="2751" spans="2:4">
      <c r="B2751" s="76">
        <v>44837</v>
      </c>
      <c r="C2751" s="77">
        <v>60.279998999999997</v>
      </c>
      <c r="D2751" s="78">
        <v>45.189999</v>
      </c>
    </row>
    <row r="2752" spans="2:4">
      <c r="B2752" s="76">
        <v>44838</v>
      </c>
      <c r="C2752" s="77">
        <v>63.450001</v>
      </c>
      <c r="D2752" s="78">
        <v>46.610000999999997</v>
      </c>
    </row>
    <row r="2753" spans="2:4">
      <c r="B2753" s="76">
        <v>44839</v>
      </c>
      <c r="C2753" s="77">
        <v>63.619999</v>
      </c>
      <c r="D2753" s="78">
        <v>46.509998000000003</v>
      </c>
    </row>
    <row r="2754" spans="2:4">
      <c r="B2754" s="76">
        <v>44840</v>
      </c>
      <c r="C2754" s="77">
        <v>63.790000999999997</v>
      </c>
      <c r="D2754" s="78">
        <v>46.049999</v>
      </c>
    </row>
    <row r="2755" spans="2:4">
      <c r="B2755" s="76">
        <v>44841</v>
      </c>
      <c r="C2755" s="77">
        <v>63.240001999999997</v>
      </c>
      <c r="D2755" s="78">
        <v>44.82</v>
      </c>
    </row>
    <row r="2756" spans="2:4">
      <c r="B2756" s="76">
        <v>44844</v>
      </c>
      <c r="C2756" s="77">
        <v>64.089995999999999</v>
      </c>
      <c r="D2756" s="78">
        <v>44.48</v>
      </c>
    </row>
    <row r="2757" spans="2:4">
      <c r="B2757" s="76">
        <v>44845</v>
      </c>
      <c r="C2757" s="77">
        <v>64.190002000000007</v>
      </c>
      <c r="D2757" s="78">
        <v>44.209999000000003</v>
      </c>
    </row>
    <row r="2758" spans="2:4">
      <c r="B2758" s="76">
        <v>44846</v>
      </c>
      <c r="C2758" s="77">
        <v>62.82</v>
      </c>
      <c r="D2758" s="78">
        <v>44.09</v>
      </c>
    </row>
    <row r="2759" spans="2:4">
      <c r="B2759" s="76">
        <v>44847</v>
      </c>
      <c r="C2759" s="77">
        <v>62.369999</v>
      </c>
      <c r="D2759" s="78">
        <v>45.23</v>
      </c>
    </row>
    <row r="2760" spans="2:4">
      <c r="B2760" s="76">
        <v>44848</v>
      </c>
      <c r="C2760" s="77">
        <v>57.959999000000003</v>
      </c>
      <c r="D2760" s="78">
        <v>44.169998</v>
      </c>
    </row>
    <row r="2761" spans="2:4">
      <c r="B2761" s="76">
        <v>44851</v>
      </c>
      <c r="C2761" s="77">
        <v>58.98</v>
      </c>
      <c r="D2761" s="78">
        <v>45.310001</v>
      </c>
    </row>
    <row r="2762" spans="2:4">
      <c r="B2762" s="76">
        <v>44852</v>
      </c>
      <c r="C2762" s="77">
        <v>60.650002000000001</v>
      </c>
      <c r="D2762" s="78">
        <v>45.849997999999999</v>
      </c>
    </row>
    <row r="2763" spans="2:4">
      <c r="B2763" s="76">
        <v>44853</v>
      </c>
      <c r="C2763" s="77">
        <v>56.34</v>
      </c>
      <c r="D2763" s="78">
        <v>45.5</v>
      </c>
    </row>
    <row r="2764" spans="2:4">
      <c r="B2764" s="76">
        <v>44854</v>
      </c>
      <c r="C2764" s="77">
        <v>54.450001</v>
      </c>
      <c r="D2764" s="78">
        <v>45.130001</v>
      </c>
    </row>
    <row r="2765" spans="2:4">
      <c r="B2765" s="76">
        <v>44855</v>
      </c>
      <c r="C2765" s="77">
        <v>56.32</v>
      </c>
      <c r="D2765" s="78">
        <v>46.18</v>
      </c>
    </row>
    <row r="2766" spans="2:4">
      <c r="B2766" s="76">
        <v>44858</v>
      </c>
      <c r="C2766" s="77">
        <v>57.759998000000003</v>
      </c>
      <c r="D2766" s="78">
        <v>46.709999000000003</v>
      </c>
    </row>
    <row r="2767" spans="2:4">
      <c r="B2767" s="76">
        <v>44859</v>
      </c>
      <c r="C2767" s="77">
        <v>60.470001000000003</v>
      </c>
      <c r="D2767" s="78">
        <v>47.5</v>
      </c>
    </row>
    <row r="2768" spans="2:4">
      <c r="B2768" s="76">
        <v>44860</v>
      </c>
      <c r="C2768" s="77">
        <v>60.700001</v>
      </c>
      <c r="D2768" s="78">
        <v>47.23</v>
      </c>
    </row>
    <row r="2769" spans="2:4">
      <c r="B2769" s="76">
        <v>44861</v>
      </c>
      <c r="C2769" s="77">
        <v>60.860000999999997</v>
      </c>
      <c r="D2769" s="78">
        <v>46.990001999999997</v>
      </c>
    </row>
    <row r="2770" spans="2:4">
      <c r="B2770" s="76">
        <v>44862</v>
      </c>
      <c r="C2770" s="77">
        <v>61.939999</v>
      </c>
      <c r="D2770" s="78">
        <v>48.07</v>
      </c>
    </row>
    <row r="2771" spans="2:4">
      <c r="B2771" s="76">
        <v>44865</v>
      </c>
      <c r="C2771" s="77">
        <v>61.66</v>
      </c>
      <c r="D2771" s="78">
        <v>47.73</v>
      </c>
    </row>
    <row r="2772" spans="2:4">
      <c r="B2772" s="76">
        <v>44866</v>
      </c>
      <c r="C2772" s="77">
        <v>61.580002</v>
      </c>
      <c r="D2772" s="78">
        <v>47.59</v>
      </c>
    </row>
    <row r="2773" spans="2:4">
      <c r="B2773" s="76">
        <v>44867</v>
      </c>
      <c r="C2773" s="77">
        <v>57.709999000000003</v>
      </c>
      <c r="D2773" s="78">
        <v>46.380001</v>
      </c>
    </row>
    <row r="2774" spans="2:4">
      <c r="B2774" s="76">
        <v>44868</v>
      </c>
      <c r="C2774" s="77">
        <v>56.560001</v>
      </c>
      <c r="D2774" s="78">
        <v>45.880001</v>
      </c>
    </row>
    <row r="2775" spans="2:4">
      <c r="B2775" s="76">
        <v>44869</v>
      </c>
      <c r="C2775" s="77">
        <v>56.68</v>
      </c>
      <c r="D2775" s="78">
        <v>46.580002</v>
      </c>
    </row>
    <row r="2776" spans="2:4">
      <c r="B2776" s="76">
        <v>44872</v>
      </c>
      <c r="C2776" s="77">
        <v>57.91</v>
      </c>
      <c r="D2776" s="78">
        <v>47.049999</v>
      </c>
    </row>
    <row r="2777" spans="2:4">
      <c r="B2777" s="76">
        <v>44873</v>
      </c>
      <c r="C2777" s="77">
        <v>60.91</v>
      </c>
      <c r="D2777" s="78">
        <v>47.27</v>
      </c>
    </row>
    <row r="2778" spans="2:4">
      <c r="B2778" s="76">
        <v>44874</v>
      </c>
      <c r="C2778" s="77">
        <v>57.049999</v>
      </c>
      <c r="D2778" s="78">
        <v>46.299999</v>
      </c>
    </row>
    <row r="2779" spans="2:4">
      <c r="B2779" s="76">
        <v>44875</v>
      </c>
      <c r="C2779" s="77">
        <v>65.080001999999993</v>
      </c>
      <c r="D2779" s="78">
        <v>48.860000999999997</v>
      </c>
    </row>
    <row r="2780" spans="2:4">
      <c r="B2780" s="76">
        <v>44876</v>
      </c>
      <c r="C2780" s="77">
        <v>65.879997000000003</v>
      </c>
      <c r="D2780" s="78">
        <v>49.279998999999997</v>
      </c>
    </row>
    <row r="2781" spans="2:4">
      <c r="B2781" s="76">
        <v>44879</v>
      </c>
      <c r="C2781" s="77">
        <v>62.970001000000003</v>
      </c>
      <c r="D2781" s="78">
        <v>48.860000999999997</v>
      </c>
    </row>
    <row r="2782" spans="2:4">
      <c r="B2782" s="76">
        <v>44880</v>
      </c>
      <c r="C2782" s="77">
        <v>64.059997999999993</v>
      </c>
      <c r="D2782" s="78">
        <v>49.330002</v>
      </c>
    </row>
    <row r="2783" spans="2:4">
      <c r="B2783" s="76">
        <v>44881</v>
      </c>
      <c r="C2783" s="77">
        <v>63.119999</v>
      </c>
      <c r="D2783" s="78">
        <v>48.889999000000003</v>
      </c>
    </row>
    <row r="2784" spans="2:4">
      <c r="B2784" s="76">
        <v>44882</v>
      </c>
      <c r="C2784" s="77">
        <v>62.919998</v>
      </c>
      <c r="D2784" s="78">
        <v>48.740001999999997</v>
      </c>
    </row>
    <row r="2785" spans="2:4">
      <c r="B2785" s="76">
        <v>44883</v>
      </c>
      <c r="C2785" s="77">
        <v>64.199996999999996</v>
      </c>
      <c r="D2785" s="78">
        <v>49.009998000000003</v>
      </c>
    </row>
    <row r="2786" spans="2:4">
      <c r="B2786" s="76">
        <v>44886</v>
      </c>
      <c r="C2786" s="77">
        <v>59.880001</v>
      </c>
      <c r="D2786" s="78">
        <v>48.799999</v>
      </c>
    </row>
    <row r="2787" spans="2:4">
      <c r="B2787" s="76">
        <v>44887</v>
      </c>
      <c r="C2787" s="77">
        <v>60.970001000000003</v>
      </c>
      <c r="D2787" s="78">
        <v>49.490001999999997</v>
      </c>
    </row>
    <row r="2788" spans="2:4">
      <c r="B2788" s="76">
        <v>44888</v>
      </c>
      <c r="C2788" s="77">
        <v>60.470001000000003</v>
      </c>
      <c r="D2788" s="78">
        <v>49.740001999999997</v>
      </c>
    </row>
    <row r="2789" spans="2:4">
      <c r="B2789" s="76">
        <v>44890</v>
      </c>
      <c r="C2789" s="77">
        <v>60.52</v>
      </c>
      <c r="D2789" s="78">
        <v>49.759998000000003</v>
      </c>
    </row>
    <row r="2790" spans="2:4">
      <c r="B2790" s="76">
        <v>44893</v>
      </c>
      <c r="C2790" s="77">
        <v>62</v>
      </c>
      <c r="D2790" s="78">
        <v>48.990001999999997</v>
      </c>
    </row>
    <row r="2791" spans="2:4">
      <c r="B2791" s="76">
        <v>44894</v>
      </c>
      <c r="C2791" s="77">
        <v>63.32</v>
      </c>
      <c r="D2791" s="78">
        <v>48.889999000000003</v>
      </c>
    </row>
    <row r="2792" spans="2:4">
      <c r="B2792" s="76">
        <v>44895</v>
      </c>
      <c r="C2792" s="77">
        <v>63.93</v>
      </c>
      <c r="D2792" s="78">
        <v>50.380001</v>
      </c>
    </row>
    <row r="2793" spans="2:4">
      <c r="B2793" s="76">
        <v>44896</v>
      </c>
      <c r="C2793" s="77">
        <v>63.73</v>
      </c>
      <c r="D2793" s="78">
        <v>50.41</v>
      </c>
    </row>
    <row r="2794" spans="2:4">
      <c r="B2794" s="76">
        <v>44897</v>
      </c>
      <c r="C2794" s="77">
        <v>63.110000999999997</v>
      </c>
      <c r="D2794" s="78">
        <v>50.34</v>
      </c>
    </row>
    <row r="2795" spans="2:4">
      <c r="B2795" s="76">
        <v>44900</v>
      </c>
      <c r="C2795" s="77">
        <v>61.330002</v>
      </c>
      <c r="D2795" s="78">
        <v>49.369999</v>
      </c>
    </row>
    <row r="2796" spans="2:4">
      <c r="B2796" s="76">
        <v>44901</v>
      </c>
      <c r="C2796" s="77">
        <v>62.18</v>
      </c>
      <c r="D2796" s="78">
        <v>48.709999000000003</v>
      </c>
    </row>
    <row r="2797" spans="2:4">
      <c r="B2797" s="76">
        <v>44902</v>
      </c>
      <c r="C2797" s="77">
        <v>65.470000999999996</v>
      </c>
      <c r="D2797" s="78">
        <v>48.599997999999999</v>
      </c>
    </row>
    <row r="2798" spans="2:4">
      <c r="B2798" s="76">
        <v>44903</v>
      </c>
      <c r="C2798" s="77">
        <v>66.410004000000001</v>
      </c>
      <c r="D2798" s="78">
        <v>48.990001999999997</v>
      </c>
    </row>
    <row r="2799" spans="2:4">
      <c r="B2799" s="76">
        <v>44904</v>
      </c>
      <c r="C2799" s="77">
        <v>65.360000999999997</v>
      </c>
      <c r="D2799" s="78">
        <v>48.619999</v>
      </c>
    </row>
    <row r="2800" spans="2:4">
      <c r="B2800" s="76">
        <v>44907</v>
      </c>
      <c r="C2800" s="77">
        <v>66.480002999999996</v>
      </c>
      <c r="D2800" s="78">
        <v>49.259998000000003</v>
      </c>
    </row>
    <row r="2801" spans="2:4">
      <c r="B2801" s="76">
        <v>44908</v>
      </c>
      <c r="C2801" s="77">
        <v>67.389999000000003</v>
      </c>
      <c r="D2801" s="78">
        <v>49.639999000000003</v>
      </c>
    </row>
    <row r="2802" spans="2:4">
      <c r="B2802" s="76">
        <v>44909</v>
      </c>
      <c r="C2802" s="77">
        <v>67.650002000000001</v>
      </c>
      <c r="D2802" s="78">
        <v>49.360000999999997</v>
      </c>
    </row>
    <row r="2803" spans="2:4">
      <c r="B2803" s="76">
        <v>44910</v>
      </c>
      <c r="C2803" s="77">
        <v>68.269997000000004</v>
      </c>
      <c r="D2803" s="78">
        <v>48.119999</v>
      </c>
    </row>
    <row r="2804" spans="2:4">
      <c r="B2804" s="76">
        <v>44911</v>
      </c>
      <c r="C2804" s="77">
        <v>67.540001000000004</v>
      </c>
      <c r="D2804" s="78">
        <v>47.549999</v>
      </c>
    </row>
    <row r="2805" spans="2:4">
      <c r="B2805" s="76">
        <v>44914</v>
      </c>
      <c r="C2805" s="77">
        <v>65.599997999999999</v>
      </c>
      <c r="D2805" s="78">
        <v>46.919998</v>
      </c>
    </row>
    <row r="2806" spans="2:4">
      <c r="B2806" s="76">
        <v>44915</v>
      </c>
      <c r="C2806" s="77">
        <v>65.309997999999993</v>
      </c>
      <c r="D2806" s="78">
        <v>47</v>
      </c>
    </row>
    <row r="2807" spans="2:4">
      <c r="B2807" s="76">
        <v>44916</v>
      </c>
      <c r="C2807" s="77">
        <v>66.150002000000001</v>
      </c>
      <c r="D2807" s="78">
        <v>47.720001000000003</v>
      </c>
    </row>
    <row r="2808" spans="2:4">
      <c r="B2808" s="76">
        <v>44917</v>
      </c>
      <c r="C2808" s="77">
        <v>65.029999000000004</v>
      </c>
      <c r="D2808" s="78">
        <v>47.07</v>
      </c>
    </row>
    <row r="2809" spans="2:4">
      <c r="B2809" s="76">
        <v>44918</v>
      </c>
      <c r="C2809" s="77">
        <v>65.300003000000004</v>
      </c>
      <c r="D2809" s="78">
        <v>47.349997999999999</v>
      </c>
    </row>
    <row r="2810" spans="2:4">
      <c r="B2810" s="76">
        <v>44922</v>
      </c>
      <c r="C2810" s="77">
        <v>65.150002000000001</v>
      </c>
      <c r="D2810" s="78">
        <v>47.169998</v>
      </c>
    </row>
    <row r="2811" spans="2:4">
      <c r="B2811" s="76">
        <v>44923</v>
      </c>
      <c r="C2811" s="77">
        <v>63.52</v>
      </c>
      <c r="D2811" s="78">
        <v>46.529998999999997</v>
      </c>
    </row>
    <row r="2812" spans="2:4">
      <c r="B2812" s="76">
        <v>44924</v>
      </c>
      <c r="C2812" s="77">
        <v>65.199996999999996</v>
      </c>
      <c r="D2812" s="78">
        <v>47.419998</v>
      </c>
    </row>
    <row r="2813" spans="2:4">
      <c r="B2813" s="76">
        <v>44925</v>
      </c>
      <c r="C2813" s="77">
        <v>64.879997000000003</v>
      </c>
      <c r="D2813" s="78">
        <v>47.290000999999997</v>
      </c>
    </row>
    <row r="2814" spans="2:4">
      <c r="B2814" s="76">
        <v>44929</v>
      </c>
      <c r="C2814" s="77">
        <v>65.349997999999999</v>
      </c>
      <c r="D2814" s="78">
        <v>47.110000999999997</v>
      </c>
    </row>
    <row r="2815" spans="2:4">
      <c r="B2815" s="76">
        <v>44930</v>
      </c>
      <c r="C2815" s="77">
        <v>66.669998000000007</v>
      </c>
      <c r="D2815" s="78">
        <v>47.5</v>
      </c>
    </row>
    <row r="2816" spans="2:4">
      <c r="B2816" s="76">
        <v>44931</v>
      </c>
      <c r="C2816" s="77">
        <v>66.510002</v>
      </c>
      <c r="D2816" s="78">
        <v>46.970001000000003</v>
      </c>
    </row>
    <row r="2817" spans="2:4">
      <c r="B2817" s="76">
        <v>44932</v>
      </c>
      <c r="C2817" s="77">
        <v>67.239998</v>
      </c>
      <c r="D2817" s="78">
        <v>48.009998000000003</v>
      </c>
    </row>
    <row r="2818" spans="2:4">
      <c r="B2818" s="76">
        <v>44935</v>
      </c>
      <c r="C2818" s="77">
        <v>67.050003000000004</v>
      </c>
      <c r="D2818" s="78">
        <v>47.990001999999997</v>
      </c>
    </row>
    <row r="2819" spans="2:4">
      <c r="B2819" s="76">
        <v>44936</v>
      </c>
      <c r="C2819" s="77">
        <v>67.339995999999999</v>
      </c>
      <c r="D2819" s="78">
        <v>48.369999</v>
      </c>
    </row>
    <row r="2820" spans="2:4">
      <c r="B2820" s="76">
        <v>44937</v>
      </c>
      <c r="C2820" s="77">
        <v>68.779999000000004</v>
      </c>
      <c r="D2820" s="78">
        <v>48.98</v>
      </c>
    </row>
    <row r="2821" spans="2:4">
      <c r="B2821" s="76">
        <v>44938</v>
      </c>
      <c r="C2821" s="77">
        <v>70.220000999999996</v>
      </c>
      <c r="D2821" s="78">
        <v>49.130001</v>
      </c>
    </row>
    <row r="2822" spans="2:4">
      <c r="B2822" s="76">
        <v>44939</v>
      </c>
      <c r="C2822" s="77">
        <v>71.930000000000007</v>
      </c>
      <c r="D2822" s="78">
        <v>49.369999</v>
      </c>
    </row>
    <row r="2823" spans="2:4">
      <c r="B2823" s="76">
        <v>44943</v>
      </c>
      <c r="C2823" s="77">
        <v>71.739998</v>
      </c>
      <c r="D2823" s="78">
        <v>49.279998999999997</v>
      </c>
    </row>
    <row r="2824" spans="2:4">
      <c r="B2824" s="76">
        <v>44944</v>
      </c>
      <c r="C2824" s="77">
        <v>71.690002000000007</v>
      </c>
      <c r="D2824" s="78">
        <v>48.529998999999997</v>
      </c>
    </row>
    <row r="2825" spans="2:4">
      <c r="B2825" s="76">
        <v>44945</v>
      </c>
      <c r="C2825" s="77">
        <v>69.5</v>
      </c>
      <c r="D2825" s="78">
        <v>48.150002000000001</v>
      </c>
    </row>
    <row r="2826" spans="2:4">
      <c r="B2826" s="76">
        <v>44946</v>
      </c>
      <c r="C2826" s="77">
        <v>70.980002999999996</v>
      </c>
      <c r="D2826" s="78">
        <v>49.040000999999997</v>
      </c>
    </row>
    <row r="2827" spans="2:4">
      <c r="B2827" s="76">
        <v>44949</v>
      </c>
      <c r="C2827" s="77">
        <v>72.459998999999996</v>
      </c>
      <c r="D2827" s="78">
        <v>49.599997999999999</v>
      </c>
    </row>
    <row r="2828" spans="2:4">
      <c r="B2828" s="76">
        <v>44950</v>
      </c>
      <c r="C2828" s="77">
        <v>72.110000999999997</v>
      </c>
      <c r="D2828" s="78">
        <v>49.540000999999997</v>
      </c>
    </row>
    <row r="2829" spans="2:4">
      <c r="B2829" s="76">
        <v>44951</v>
      </c>
      <c r="C2829" s="77">
        <v>73.519997000000004</v>
      </c>
      <c r="D2829" s="78">
        <v>49.57</v>
      </c>
    </row>
    <row r="2830" spans="2:4">
      <c r="B2830" s="76">
        <v>44952</v>
      </c>
      <c r="C2830" s="77">
        <v>75.680000000000007</v>
      </c>
      <c r="D2830" s="78">
        <v>50.139999000000003</v>
      </c>
    </row>
    <row r="2831" spans="2:4">
      <c r="B2831" s="76">
        <v>44953</v>
      </c>
      <c r="C2831" s="77">
        <v>77.330001999999993</v>
      </c>
      <c r="D2831" s="78">
        <v>50.240001999999997</v>
      </c>
    </row>
    <row r="2832" spans="2:4">
      <c r="B2832" s="76">
        <v>44956</v>
      </c>
      <c r="C2832" s="77">
        <v>76.720000999999996</v>
      </c>
      <c r="D2832" s="78">
        <v>49.599997999999999</v>
      </c>
    </row>
    <row r="2833" spans="2:4">
      <c r="B2833" s="76">
        <v>44957</v>
      </c>
      <c r="C2833" s="77">
        <v>79.699996999999996</v>
      </c>
      <c r="D2833" s="78">
        <v>50.360000999999997</v>
      </c>
    </row>
    <row r="2834" spans="2:4">
      <c r="B2834" s="76">
        <v>44958</v>
      </c>
      <c r="C2834" s="77">
        <v>81.540001000000004</v>
      </c>
      <c r="D2834" s="78">
        <v>50.91</v>
      </c>
    </row>
    <row r="2835" spans="2:4">
      <c r="B2835" s="76">
        <v>44959</v>
      </c>
      <c r="C2835" s="77">
        <v>84.239998</v>
      </c>
      <c r="D2835" s="78">
        <v>51.650002000000001</v>
      </c>
    </row>
    <row r="2836" spans="2:4">
      <c r="B2836" s="76">
        <v>44960</v>
      </c>
      <c r="C2836" s="77">
        <v>82.099997999999999</v>
      </c>
      <c r="D2836" s="78">
        <v>51.189999</v>
      </c>
    </row>
    <row r="2837" spans="2:4">
      <c r="B2837" s="76">
        <v>44963</v>
      </c>
      <c r="C2837" s="77">
        <v>81.949996999999996</v>
      </c>
      <c r="D2837" s="78">
        <v>50.84</v>
      </c>
    </row>
    <row r="2838" spans="2:4">
      <c r="B2838" s="76">
        <v>44964</v>
      </c>
      <c r="C2838" s="77">
        <v>81.870002999999997</v>
      </c>
      <c r="D2838" s="78">
        <v>51.470001000000003</v>
      </c>
    </row>
    <row r="2839" spans="2:4">
      <c r="B2839" s="76">
        <v>44965</v>
      </c>
      <c r="C2839" s="77">
        <v>81.699996999999996</v>
      </c>
      <c r="D2839" s="78">
        <v>50.869999</v>
      </c>
    </row>
    <row r="2840" spans="2:4">
      <c r="B2840" s="76">
        <v>44966</v>
      </c>
      <c r="C2840" s="77">
        <v>80.309997999999993</v>
      </c>
      <c r="D2840" s="78">
        <v>50.419998</v>
      </c>
    </row>
    <row r="2841" spans="2:4">
      <c r="B2841" s="76">
        <v>44967</v>
      </c>
      <c r="C2841" s="77">
        <v>80.319999999999993</v>
      </c>
      <c r="D2841" s="78">
        <v>50.560001</v>
      </c>
    </row>
    <row r="2842" spans="2:4">
      <c r="B2842" s="76">
        <v>44970</v>
      </c>
      <c r="C2842" s="77">
        <v>81.720000999999996</v>
      </c>
      <c r="D2842" s="78">
        <v>51.150002000000001</v>
      </c>
    </row>
    <row r="2843" spans="2:4">
      <c r="B2843" s="76">
        <v>44971</v>
      </c>
      <c r="C2843" s="77">
        <v>82.279999000000004</v>
      </c>
      <c r="D2843" s="78">
        <v>51.099997999999999</v>
      </c>
    </row>
    <row r="2844" spans="2:4">
      <c r="B2844" s="76">
        <v>44972</v>
      </c>
      <c r="C2844" s="77">
        <v>83.779999000000004</v>
      </c>
      <c r="D2844" s="78">
        <v>51.310001</v>
      </c>
    </row>
    <row r="2845" spans="2:4">
      <c r="B2845" s="76">
        <v>44973</v>
      </c>
      <c r="C2845" s="77">
        <v>82.5</v>
      </c>
      <c r="D2845" s="78">
        <v>50.610000999999997</v>
      </c>
    </row>
    <row r="2846" spans="2:4">
      <c r="B2846" s="76">
        <v>44974</v>
      </c>
      <c r="C2846" s="77">
        <v>81.480002999999996</v>
      </c>
      <c r="D2846" s="78">
        <v>50.52</v>
      </c>
    </row>
    <row r="2847" spans="2:4">
      <c r="B2847" s="76">
        <v>44978</v>
      </c>
      <c r="C2847" s="77">
        <v>76.769997000000004</v>
      </c>
      <c r="D2847" s="78">
        <v>49.470001000000003</v>
      </c>
    </row>
    <row r="2848" spans="2:4">
      <c r="B2848" s="76">
        <v>44979</v>
      </c>
      <c r="C2848" s="77">
        <v>78.540001000000004</v>
      </c>
      <c r="D2848" s="78">
        <v>49.400002000000001</v>
      </c>
    </row>
    <row r="2849" spans="2:4">
      <c r="B2849" s="76">
        <v>44980</v>
      </c>
      <c r="C2849" s="77">
        <v>80.010002</v>
      </c>
      <c r="D2849" s="78">
        <v>49.650002000000001</v>
      </c>
    </row>
    <row r="2850" spans="2:4">
      <c r="B2850" s="76">
        <v>44981</v>
      </c>
      <c r="C2850" s="77">
        <v>80.059997999999993</v>
      </c>
      <c r="D2850" s="78">
        <v>49.150002000000001</v>
      </c>
    </row>
    <row r="2851" spans="2:4">
      <c r="B2851" s="76">
        <v>44984</v>
      </c>
      <c r="C2851" s="77">
        <v>81.489998</v>
      </c>
      <c r="D2851" s="78">
        <v>49.299999</v>
      </c>
    </row>
    <row r="2852" spans="2:4">
      <c r="B2852" s="76">
        <v>44985</v>
      </c>
      <c r="C2852" s="77">
        <v>84.779999000000004</v>
      </c>
      <c r="D2852" s="78">
        <v>49.18</v>
      </c>
    </row>
    <row r="2853" spans="2:4">
      <c r="B2853" s="76">
        <v>44986</v>
      </c>
      <c r="C2853" s="77">
        <v>85.760002</v>
      </c>
      <c r="D2853" s="78">
        <v>48.990001999999997</v>
      </c>
    </row>
    <row r="2854" spans="2:4">
      <c r="B2854" s="76">
        <v>44987</v>
      </c>
      <c r="C2854" s="77">
        <v>86.699996999999996</v>
      </c>
      <c r="D2854" s="78">
        <v>49.360000999999997</v>
      </c>
    </row>
    <row r="2855" spans="2:4">
      <c r="B2855" s="76">
        <v>44988</v>
      </c>
      <c r="C2855" s="77">
        <v>89.18</v>
      </c>
      <c r="D2855" s="78">
        <v>50.16</v>
      </c>
    </row>
    <row r="2856" spans="2:4">
      <c r="B2856" s="76">
        <v>44991</v>
      </c>
      <c r="C2856" s="77">
        <v>87.290001000000004</v>
      </c>
      <c r="D2856" s="78">
        <v>50.099997999999999</v>
      </c>
    </row>
    <row r="2857" spans="2:4">
      <c r="B2857" s="76">
        <v>44992</v>
      </c>
      <c r="C2857" s="77">
        <v>86.199996999999996</v>
      </c>
      <c r="D2857" s="78">
        <v>49.360000999999997</v>
      </c>
    </row>
    <row r="2858" spans="2:4">
      <c r="B2858" s="76">
        <v>44993</v>
      </c>
      <c r="C2858" s="77">
        <v>86.190002000000007</v>
      </c>
      <c r="D2858" s="78">
        <v>49.43</v>
      </c>
    </row>
    <row r="2859" spans="2:4">
      <c r="B2859" s="76">
        <v>44994</v>
      </c>
      <c r="C2859" s="77">
        <v>83.809997999999993</v>
      </c>
      <c r="D2859" s="78">
        <v>48.48</v>
      </c>
    </row>
    <row r="2860" spans="2:4">
      <c r="B2860" s="76">
        <v>44995</v>
      </c>
      <c r="C2860" s="77">
        <v>81.639999000000003</v>
      </c>
      <c r="D2860" s="78">
        <v>47.759998000000003</v>
      </c>
    </row>
    <row r="2861" spans="2:4">
      <c r="B2861" s="76">
        <v>44998</v>
      </c>
      <c r="C2861" s="77">
        <v>79.839995999999999</v>
      </c>
      <c r="D2861" s="78">
        <v>47.560001</v>
      </c>
    </row>
    <row r="2862" spans="2:4">
      <c r="B2862" s="76">
        <v>44999</v>
      </c>
      <c r="C2862" s="77">
        <v>81.050003000000004</v>
      </c>
      <c r="D2862" s="78">
        <v>48.41</v>
      </c>
    </row>
    <row r="2863" spans="2:4">
      <c r="B2863" s="76">
        <v>45000</v>
      </c>
      <c r="C2863" s="77">
        <v>79.529999000000004</v>
      </c>
      <c r="D2863" s="78">
        <v>48.029998999999997</v>
      </c>
    </row>
    <row r="2864" spans="2:4">
      <c r="B2864" s="76">
        <v>45001</v>
      </c>
      <c r="C2864" s="77">
        <v>82.389999000000003</v>
      </c>
      <c r="D2864" s="78">
        <v>48.849997999999999</v>
      </c>
    </row>
    <row r="2865" spans="2:4">
      <c r="B2865" s="76">
        <v>45002</v>
      </c>
      <c r="C2865" s="77">
        <v>80.089995999999999</v>
      </c>
      <c r="D2865" s="78">
        <v>48.200001</v>
      </c>
    </row>
    <row r="2866" spans="2:4">
      <c r="B2866" s="76">
        <v>45005</v>
      </c>
      <c r="C2866" s="77">
        <v>82.019997000000004</v>
      </c>
      <c r="D2866" s="78">
        <v>48.490001999999997</v>
      </c>
    </row>
    <row r="2867" spans="2:4">
      <c r="B2867" s="76">
        <v>45006</v>
      </c>
      <c r="C2867" s="77">
        <v>84.230002999999996</v>
      </c>
      <c r="D2867" s="78">
        <v>49.189999</v>
      </c>
    </row>
    <row r="2868" spans="2:4">
      <c r="B2868" s="76">
        <v>45007</v>
      </c>
      <c r="C2868" s="77">
        <v>83.82</v>
      </c>
      <c r="D2868" s="78">
        <v>48.310001</v>
      </c>
    </row>
    <row r="2869" spans="2:4">
      <c r="B2869" s="76">
        <v>45008</v>
      </c>
      <c r="C2869" s="77">
        <v>84.309997999999993</v>
      </c>
      <c r="D2869" s="78">
        <v>48.439999</v>
      </c>
    </row>
    <row r="2870" spans="2:4">
      <c r="B2870" s="76">
        <v>45009</v>
      </c>
      <c r="C2870" s="77">
        <v>84.459998999999996</v>
      </c>
      <c r="D2870" s="78">
        <v>48.759998000000003</v>
      </c>
    </row>
    <row r="2871" spans="2:4">
      <c r="B2871" s="76">
        <v>45012</v>
      </c>
      <c r="C2871" s="77">
        <v>85.43</v>
      </c>
      <c r="D2871" s="78">
        <v>48.849997999999999</v>
      </c>
    </row>
    <row r="2872" spans="2:4">
      <c r="B2872" s="76">
        <v>45013</v>
      </c>
      <c r="C2872" s="77">
        <v>86.300003000000004</v>
      </c>
      <c r="D2872" s="78">
        <v>48.799999</v>
      </c>
    </row>
    <row r="2873" spans="2:4">
      <c r="B2873" s="76">
        <v>45014</v>
      </c>
      <c r="C2873" s="77">
        <v>86.459998999999996</v>
      </c>
      <c r="D2873" s="78">
        <v>49.470001000000003</v>
      </c>
    </row>
    <row r="2874" spans="2:4">
      <c r="B2874" s="76">
        <v>45015</v>
      </c>
      <c r="C2874" s="77">
        <v>86.25</v>
      </c>
      <c r="D2874" s="78">
        <v>49.75</v>
      </c>
    </row>
    <row r="2875" spans="2:4">
      <c r="B2875" s="76">
        <v>45016</v>
      </c>
      <c r="C2875" s="77">
        <v>88.779999000000004</v>
      </c>
      <c r="D2875" s="78">
        <v>50.43</v>
      </c>
    </row>
    <row r="2876" spans="2:4">
      <c r="B2876" s="76">
        <v>45019</v>
      </c>
      <c r="C2876" s="77">
        <v>90.160004000000001</v>
      </c>
      <c r="D2876" s="78">
        <v>50.610000999999997</v>
      </c>
    </row>
    <row r="2877" spans="2:4">
      <c r="B2877" s="76">
        <v>45020</v>
      </c>
      <c r="C2877" s="77">
        <v>87.360000999999997</v>
      </c>
      <c r="D2877" s="78">
        <v>50.299999</v>
      </c>
    </row>
    <row r="2878" spans="2:4">
      <c r="B2878" s="76">
        <v>45021</v>
      </c>
      <c r="C2878" s="77">
        <v>85.959998999999996</v>
      </c>
      <c r="D2878" s="78">
        <v>50.139999000000003</v>
      </c>
    </row>
    <row r="2879" spans="2:4">
      <c r="B2879" s="76">
        <v>45022</v>
      </c>
      <c r="C2879" s="77">
        <v>85.529999000000004</v>
      </c>
      <c r="D2879" s="78">
        <v>50.310001</v>
      </c>
    </row>
    <row r="2880" spans="2:4">
      <c r="B2880" s="76">
        <v>45026</v>
      </c>
      <c r="C2880" s="77">
        <v>88.620002999999997</v>
      </c>
      <c r="D2880" s="78">
        <v>50.41</v>
      </c>
    </row>
    <row r="2881" spans="2:4">
      <c r="B2881" s="76">
        <v>45027</v>
      </c>
      <c r="C2881" s="77">
        <v>92.370002999999997</v>
      </c>
      <c r="D2881" s="78">
        <v>50.43</v>
      </c>
    </row>
    <row r="2882" spans="2:4">
      <c r="B2882" s="76">
        <v>45028</v>
      </c>
      <c r="C2882" s="77">
        <v>92.93</v>
      </c>
      <c r="D2882" s="78">
        <v>50.259998000000003</v>
      </c>
    </row>
    <row r="2883" spans="2:4">
      <c r="B2883" s="76">
        <v>45029</v>
      </c>
      <c r="C2883" s="77">
        <v>93.339995999999999</v>
      </c>
      <c r="D2883" s="78">
        <v>50.900002000000001</v>
      </c>
    </row>
    <row r="2884" spans="2:4">
      <c r="B2884" s="76">
        <v>45030</v>
      </c>
      <c r="C2884" s="77">
        <v>94.360000999999997</v>
      </c>
      <c r="D2884" s="78">
        <v>50.790000999999997</v>
      </c>
    </row>
    <row r="2885" spans="2:4">
      <c r="B2885" s="76">
        <v>45033</v>
      </c>
      <c r="C2885" s="77">
        <v>94.300003000000004</v>
      </c>
      <c r="D2885" s="78">
        <v>50.939999</v>
      </c>
    </row>
    <row r="2886" spans="2:4">
      <c r="B2886" s="76">
        <v>45034</v>
      </c>
      <c r="C2886" s="77">
        <v>96.720000999999996</v>
      </c>
      <c r="D2886" s="78">
        <v>50.990001999999997</v>
      </c>
    </row>
    <row r="2887" spans="2:4">
      <c r="B2887" s="76">
        <v>45035</v>
      </c>
      <c r="C2887" s="77">
        <v>94.470000999999996</v>
      </c>
      <c r="D2887" s="78">
        <v>50.98</v>
      </c>
    </row>
    <row r="2888" spans="2:4">
      <c r="B2888" s="76">
        <v>45036</v>
      </c>
      <c r="C2888" s="77">
        <v>94.730002999999996</v>
      </c>
      <c r="D2888" s="78">
        <v>50.68</v>
      </c>
    </row>
    <row r="2889" spans="2:4">
      <c r="B2889" s="76">
        <v>45037</v>
      </c>
      <c r="C2889" s="77">
        <v>93.870002999999997</v>
      </c>
      <c r="D2889" s="78">
        <v>50.740001999999997</v>
      </c>
    </row>
    <row r="2890" spans="2:4">
      <c r="B2890" s="76">
        <v>45040</v>
      </c>
      <c r="C2890" s="77">
        <v>93.720000999999996</v>
      </c>
      <c r="D2890" s="78">
        <v>50.779998999999997</v>
      </c>
    </row>
    <row r="2891" spans="2:4">
      <c r="B2891" s="76">
        <v>45041</v>
      </c>
      <c r="C2891" s="77">
        <v>92.389999000000003</v>
      </c>
      <c r="D2891" s="78">
        <v>49.959999000000003</v>
      </c>
    </row>
    <row r="2892" spans="2:4">
      <c r="B2892" s="76">
        <v>45042</v>
      </c>
      <c r="C2892" s="77">
        <v>90.339995999999999</v>
      </c>
      <c r="D2892" s="78">
        <v>49.75</v>
      </c>
    </row>
    <row r="2893" spans="2:4">
      <c r="B2893" s="76">
        <v>45043</v>
      </c>
      <c r="C2893" s="77">
        <v>92.099997999999999</v>
      </c>
      <c r="D2893" s="78">
        <v>50.720001000000003</v>
      </c>
    </row>
    <row r="2894" spans="2:4">
      <c r="B2894" s="76">
        <v>45044</v>
      </c>
      <c r="C2894" s="77">
        <v>94.769997000000004</v>
      </c>
      <c r="D2894" s="78">
        <v>51.139999000000003</v>
      </c>
    </row>
    <row r="2895" spans="2:4">
      <c r="B2895" s="76">
        <v>45047</v>
      </c>
      <c r="C2895" s="77">
        <v>93.849997999999999</v>
      </c>
      <c r="D2895" s="78">
        <v>51.110000999999997</v>
      </c>
    </row>
    <row r="2896" spans="2:4">
      <c r="B2896" s="76">
        <v>45048</v>
      </c>
      <c r="C2896" s="77">
        <v>95.199996999999996</v>
      </c>
      <c r="D2896" s="78">
        <v>50.509998000000003</v>
      </c>
    </row>
    <row r="2897" spans="2:4">
      <c r="B2897" s="76">
        <v>45049</v>
      </c>
      <c r="C2897" s="77">
        <v>107.459999</v>
      </c>
      <c r="D2897" s="78">
        <v>50.209999000000003</v>
      </c>
    </row>
    <row r="2898" spans="2:4">
      <c r="B2898" s="76">
        <v>45050</v>
      </c>
      <c r="C2898" s="77">
        <v>106.790001</v>
      </c>
      <c r="D2898" s="78">
        <v>49.799999</v>
      </c>
    </row>
    <row r="2899" spans="2:4">
      <c r="B2899" s="76">
        <v>45051</v>
      </c>
      <c r="C2899" s="77">
        <v>111.25</v>
      </c>
      <c r="D2899" s="78">
        <v>50.740001999999997</v>
      </c>
    </row>
    <row r="2900" spans="2:4">
      <c r="B2900" s="76">
        <v>45054</v>
      </c>
      <c r="C2900" s="77">
        <v>113.66999800000001</v>
      </c>
      <c r="D2900" s="78">
        <v>50.759998000000003</v>
      </c>
    </row>
    <row r="2901" spans="2:4">
      <c r="B2901" s="76">
        <v>45055</v>
      </c>
      <c r="C2901" s="77">
        <v>114.650002</v>
      </c>
      <c r="D2901" s="78">
        <v>50.529998999999997</v>
      </c>
    </row>
    <row r="2902" spans="2:4">
      <c r="B2902" s="76">
        <v>45056</v>
      </c>
      <c r="C2902" s="77">
        <v>116.459999</v>
      </c>
      <c r="D2902" s="78">
        <v>50.700001</v>
      </c>
    </row>
    <row r="2903" spans="2:4">
      <c r="B2903" s="76">
        <v>45057</v>
      </c>
      <c r="C2903" s="77">
        <v>117.269997</v>
      </c>
      <c r="D2903" s="78">
        <v>50.630001</v>
      </c>
    </row>
    <row r="2904" spans="2:4">
      <c r="B2904" s="76">
        <v>45058</v>
      </c>
      <c r="C2904" s="77">
        <v>115.839996</v>
      </c>
      <c r="D2904" s="78">
        <v>50.599997999999999</v>
      </c>
    </row>
    <row r="2905" spans="2:4">
      <c r="B2905" s="76">
        <v>45061</v>
      </c>
      <c r="C2905" s="77">
        <v>118.160004</v>
      </c>
      <c r="D2905" s="78">
        <v>50.759998000000003</v>
      </c>
    </row>
    <row r="2906" spans="2:4">
      <c r="B2906" s="76">
        <v>45062</v>
      </c>
      <c r="C2906" s="77">
        <v>119.199997</v>
      </c>
      <c r="D2906" s="78">
        <v>50.360000999999997</v>
      </c>
    </row>
    <row r="2907" spans="2:4">
      <c r="B2907" s="76">
        <v>45063</v>
      </c>
      <c r="C2907" s="77">
        <v>120.110001</v>
      </c>
      <c r="D2907" s="78">
        <v>51.009998000000003</v>
      </c>
    </row>
    <row r="2908" spans="2:4">
      <c r="B2908" s="76">
        <v>45064</v>
      </c>
      <c r="C2908" s="77">
        <v>122.30999799999999</v>
      </c>
      <c r="D2908" s="78">
        <v>51.529998999999997</v>
      </c>
    </row>
    <row r="2909" spans="2:4">
      <c r="B2909" s="76">
        <v>45065</v>
      </c>
      <c r="C2909" s="77">
        <v>120.239998</v>
      </c>
      <c r="D2909" s="78">
        <v>51.43</v>
      </c>
    </row>
    <row r="2910" spans="2:4">
      <c r="B2910" s="76">
        <v>45068</v>
      </c>
      <c r="C2910" s="77">
        <v>120.16999800000001</v>
      </c>
      <c r="D2910" s="78">
        <v>51.439999</v>
      </c>
    </row>
    <row r="2911" spans="2:4">
      <c r="B2911" s="76">
        <v>45069</v>
      </c>
      <c r="C2911" s="77">
        <v>113.010002</v>
      </c>
      <c r="D2911" s="78">
        <v>50.900002000000001</v>
      </c>
    </row>
    <row r="2912" spans="2:4">
      <c r="B2912" s="76">
        <v>45070</v>
      </c>
      <c r="C2912" s="77">
        <v>114.040001</v>
      </c>
      <c r="D2912" s="78">
        <v>50.5</v>
      </c>
    </row>
    <row r="2913" spans="2:4">
      <c r="B2913" s="76">
        <v>45071</v>
      </c>
      <c r="C2913" s="77">
        <v>116.790001</v>
      </c>
      <c r="D2913" s="78">
        <v>50.93</v>
      </c>
    </row>
    <row r="2914" spans="2:4">
      <c r="B2914" s="76">
        <v>45072</v>
      </c>
      <c r="C2914" s="77">
        <v>115.58000199999999</v>
      </c>
      <c r="D2914" s="78">
        <v>51.560001</v>
      </c>
    </row>
    <row r="2915" spans="2:4">
      <c r="B2915" s="76">
        <v>45076</v>
      </c>
      <c r="C2915" s="77">
        <v>117.66999800000001</v>
      </c>
      <c r="D2915" s="78">
        <v>51.59</v>
      </c>
    </row>
    <row r="2916" spans="2:4">
      <c r="B2916" s="76">
        <v>45077</v>
      </c>
      <c r="C2916" s="77">
        <v>115.949997</v>
      </c>
      <c r="D2916" s="78">
        <v>51.27</v>
      </c>
    </row>
    <row r="2917" spans="2:4">
      <c r="B2917" s="76">
        <v>45078</v>
      </c>
      <c r="C2917" s="77">
        <v>115.860001</v>
      </c>
      <c r="D2917" s="78">
        <v>51.709999000000003</v>
      </c>
    </row>
    <row r="2918" spans="2:4">
      <c r="B2918" s="76">
        <v>45079</v>
      </c>
      <c r="C2918" s="77">
        <v>118.970001</v>
      </c>
      <c r="D2918" s="78">
        <v>52.529998999999997</v>
      </c>
    </row>
    <row r="2919" spans="2:4">
      <c r="B2919" s="76">
        <v>45082</v>
      </c>
      <c r="C2919" s="77">
        <v>120.33000199999999</v>
      </c>
      <c r="D2919" s="78">
        <v>52.43</v>
      </c>
    </row>
    <row r="2920" spans="2:4">
      <c r="B2920" s="76">
        <v>45083</v>
      </c>
      <c r="C2920" s="77">
        <v>123.91999800000001</v>
      </c>
      <c r="D2920" s="78">
        <v>52.630001</v>
      </c>
    </row>
    <row r="2921" spans="2:4">
      <c r="B2921" s="76">
        <v>45084</v>
      </c>
      <c r="C2921" s="77">
        <v>122.32</v>
      </c>
      <c r="D2921" s="78">
        <v>52.509998000000003</v>
      </c>
    </row>
    <row r="2922" spans="2:4">
      <c r="B2922" s="76">
        <v>45085</v>
      </c>
      <c r="C2922" s="77">
        <v>122.30999799999999</v>
      </c>
      <c r="D2922" s="78">
        <v>52.82</v>
      </c>
    </row>
    <row r="2923" spans="2:4">
      <c r="B2923" s="76">
        <v>45086</v>
      </c>
      <c r="C2923" s="77">
        <v>122.08000199999999</v>
      </c>
      <c r="D2923" s="78">
        <v>52.860000999999997</v>
      </c>
    </row>
    <row r="2924" spans="2:4">
      <c r="B2924" s="76">
        <v>45089</v>
      </c>
      <c r="C2924" s="77">
        <v>123.730003</v>
      </c>
      <c r="D2924" s="78">
        <v>53.32</v>
      </c>
    </row>
    <row r="2925" spans="2:4">
      <c r="B2925" s="76">
        <v>45090</v>
      </c>
      <c r="C2925" s="77">
        <v>126.019997</v>
      </c>
      <c r="D2925" s="78">
        <v>53.650002000000001</v>
      </c>
    </row>
    <row r="2926" spans="2:4">
      <c r="B2926" s="76">
        <v>45091</v>
      </c>
      <c r="C2926" s="77">
        <v>121</v>
      </c>
      <c r="D2926" s="78">
        <v>53.689999</v>
      </c>
    </row>
    <row r="2927" spans="2:4">
      <c r="B2927" s="76">
        <v>45092</v>
      </c>
      <c r="C2927" s="77">
        <v>123.010002</v>
      </c>
      <c r="D2927" s="78">
        <v>54.330002</v>
      </c>
    </row>
    <row r="2928" spans="2:4">
      <c r="B2928" s="76">
        <v>45093</v>
      </c>
      <c r="C2928" s="77">
        <v>121.410004</v>
      </c>
      <c r="D2928" s="78">
        <v>54.150002000000001</v>
      </c>
    </row>
    <row r="2929" spans="2:4">
      <c r="B2929" s="76">
        <v>45097</v>
      </c>
      <c r="C2929" s="77">
        <v>126.760002</v>
      </c>
      <c r="D2929" s="78">
        <v>53.700001</v>
      </c>
    </row>
    <row r="2930" spans="2:4">
      <c r="B2930" s="76">
        <v>45098</v>
      </c>
      <c r="C2930" s="77">
        <v>129.10000600000001</v>
      </c>
      <c r="D2930" s="78">
        <v>53.400002000000001</v>
      </c>
    </row>
    <row r="2931" spans="2:4">
      <c r="B2931" s="76">
        <v>45099</v>
      </c>
      <c r="C2931" s="77">
        <v>127.510002</v>
      </c>
      <c r="D2931" s="78">
        <v>53.599997999999999</v>
      </c>
    </row>
    <row r="2932" spans="2:4">
      <c r="B2932" s="76">
        <v>45100</v>
      </c>
      <c r="C2932" s="77">
        <v>127.519997</v>
      </c>
      <c r="D2932" s="78">
        <v>53.169998</v>
      </c>
    </row>
    <row r="2933" spans="2:4">
      <c r="B2933" s="76">
        <v>45103</v>
      </c>
      <c r="C2933" s="77">
        <v>128.16999799999999</v>
      </c>
      <c r="D2933" s="78">
        <v>52.98</v>
      </c>
    </row>
    <row r="2934" spans="2:4">
      <c r="B2934" s="76">
        <v>45104</v>
      </c>
      <c r="C2934" s="77">
        <v>133.479996</v>
      </c>
      <c r="D2934" s="78">
        <v>53.560001</v>
      </c>
    </row>
    <row r="2935" spans="2:4">
      <c r="B2935" s="76">
        <v>45105</v>
      </c>
      <c r="C2935" s="77">
        <v>135.33999600000001</v>
      </c>
      <c r="D2935" s="78">
        <v>53.599997999999999</v>
      </c>
    </row>
    <row r="2936" spans="2:4">
      <c r="B2936" s="76">
        <v>45106</v>
      </c>
      <c r="C2936" s="77">
        <v>136.16999799999999</v>
      </c>
      <c r="D2936" s="78">
        <v>53.880001</v>
      </c>
    </row>
    <row r="2937" spans="2:4">
      <c r="B2937" s="76">
        <v>45107</v>
      </c>
      <c r="C2937" s="77">
        <v>136</v>
      </c>
      <c r="D2937" s="78">
        <v>54.439999</v>
      </c>
    </row>
    <row r="2938" spans="2:4">
      <c r="B2938" s="76">
        <v>45110</v>
      </c>
      <c r="C2938" s="77">
        <v>136.33000200000001</v>
      </c>
      <c r="D2938" s="78">
        <v>54.57</v>
      </c>
    </row>
    <row r="2939" spans="2:4">
      <c r="B2939" s="76">
        <v>45112</v>
      </c>
      <c r="C2939" s="77">
        <v>136.470001</v>
      </c>
      <c r="D2939" s="78">
        <v>54.400002000000001</v>
      </c>
    </row>
    <row r="2940" spans="2:4">
      <c r="B2940" s="76">
        <v>45113</v>
      </c>
      <c r="C2940" s="77">
        <v>130.80999800000001</v>
      </c>
      <c r="D2940" s="78">
        <v>53.990001999999997</v>
      </c>
    </row>
    <row r="2941" spans="2:4">
      <c r="B2941" s="76">
        <v>45114</v>
      </c>
      <c r="C2941" s="77">
        <v>133.10000600000001</v>
      </c>
      <c r="D2941" s="78">
        <v>53.869999</v>
      </c>
    </row>
    <row r="2942" spans="2:4">
      <c r="B2942" s="76">
        <v>45117</v>
      </c>
      <c r="C2942" s="77">
        <v>135.259995</v>
      </c>
      <c r="D2942" s="78">
        <v>54.080002</v>
      </c>
    </row>
    <row r="2943" spans="2:4">
      <c r="B2943" s="76">
        <v>45118</v>
      </c>
      <c r="C2943" s="77">
        <v>135.470001</v>
      </c>
      <c r="D2943" s="78">
        <v>54.450001</v>
      </c>
    </row>
    <row r="2944" spans="2:4">
      <c r="B2944" s="76">
        <v>45119</v>
      </c>
      <c r="C2944" s="77">
        <v>139.279999</v>
      </c>
      <c r="D2944" s="78">
        <v>54.849997999999999</v>
      </c>
    </row>
    <row r="2945" spans="2:4">
      <c r="B2945" s="76">
        <v>45120</v>
      </c>
      <c r="C2945" s="77">
        <v>139.86999499999999</v>
      </c>
      <c r="D2945" s="78">
        <v>55.310001</v>
      </c>
    </row>
    <row r="2946" spans="2:4">
      <c r="B2946" s="76">
        <v>45121</v>
      </c>
      <c r="C2946" s="77">
        <v>141.16000399999999</v>
      </c>
      <c r="D2946" s="78">
        <v>55.23</v>
      </c>
    </row>
    <row r="2947" spans="2:4">
      <c r="B2947" s="76">
        <v>45124</v>
      </c>
      <c r="C2947" s="77">
        <v>142.96000699999999</v>
      </c>
      <c r="D2947" s="78">
        <v>55.419998</v>
      </c>
    </row>
    <row r="2948" spans="2:4">
      <c r="B2948" s="76">
        <v>45125</v>
      </c>
      <c r="C2948" s="77">
        <v>146.41999799999999</v>
      </c>
      <c r="D2948" s="78">
        <v>55.84</v>
      </c>
    </row>
    <row r="2949" spans="2:4">
      <c r="B2949" s="76">
        <v>45126</v>
      </c>
      <c r="C2949" s="77">
        <v>144.320007</v>
      </c>
      <c r="D2949" s="78">
        <v>56.02</v>
      </c>
    </row>
    <row r="2950" spans="2:4">
      <c r="B2950" s="76">
        <v>45127</v>
      </c>
      <c r="C2950" s="77">
        <v>139.13999899999999</v>
      </c>
      <c r="D2950" s="78">
        <v>55.639999000000003</v>
      </c>
    </row>
    <row r="2951" spans="2:4">
      <c r="B2951" s="76">
        <v>45128</v>
      </c>
      <c r="C2951" s="77">
        <v>138.729996</v>
      </c>
      <c r="D2951" s="78">
        <v>55.639999000000003</v>
      </c>
    </row>
    <row r="2952" spans="2:4">
      <c r="B2952" s="76">
        <v>45131</v>
      </c>
      <c r="C2952" s="77">
        <v>138.25</v>
      </c>
      <c r="D2952" s="78">
        <v>55.869999</v>
      </c>
    </row>
    <row r="2953" spans="2:4">
      <c r="B2953" s="76">
        <v>45132</v>
      </c>
      <c r="C2953" s="77">
        <v>142.009995</v>
      </c>
      <c r="D2953" s="78">
        <v>56.02</v>
      </c>
    </row>
    <row r="2954" spans="2:4">
      <c r="B2954" s="76">
        <v>45133</v>
      </c>
      <c r="C2954" s="77">
        <v>141.770004</v>
      </c>
      <c r="D2954" s="78">
        <v>56.029998999999997</v>
      </c>
    </row>
    <row r="2955" spans="2:4">
      <c r="B2955" s="76">
        <v>45134</v>
      </c>
      <c r="C2955" s="77">
        <v>141.5</v>
      </c>
      <c r="D2955" s="78">
        <v>55.610000999999997</v>
      </c>
    </row>
    <row r="2956" spans="2:4">
      <c r="B2956" s="76">
        <v>45135</v>
      </c>
      <c r="C2956" s="77">
        <v>143.64999399999999</v>
      </c>
      <c r="D2956" s="78">
        <v>56.18</v>
      </c>
    </row>
    <row r="2957" spans="2:4">
      <c r="B2957" s="76">
        <v>45138</v>
      </c>
      <c r="C2957" s="77">
        <v>144.429993</v>
      </c>
      <c r="D2957" s="78">
        <v>56.310001</v>
      </c>
    </row>
    <row r="2958" spans="2:4">
      <c r="B2958" s="76">
        <v>45139</v>
      </c>
      <c r="C2958" s="77">
        <v>146.759995</v>
      </c>
      <c r="D2958" s="78">
        <v>56.150002000000001</v>
      </c>
    </row>
    <row r="2959" spans="2:4">
      <c r="B2959" s="76">
        <v>45140</v>
      </c>
      <c r="C2959" s="77">
        <v>148.63999899999999</v>
      </c>
      <c r="D2959" s="78">
        <v>55.400002000000001</v>
      </c>
    </row>
    <row r="2960" spans="2:4">
      <c r="B2960" s="76">
        <v>45141</v>
      </c>
      <c r="C2960" s="77">
        <v>144.64999399999999</v>
      </c>
      <c r="D2960" s="78">
        <v>55.23</v>
      </c>
    </row>
    <row r="2961" spans="2:4">
      <c r="B2961" s="76">
        <v>45142</v>
      </c>
      <c r="C2961" s="77">
        <v>149.63999899999999</v>
      </c>
      <c r="D2961" s="78">
        <v>55.009998000000003</v>
      </c>
    </row>
    <row r="2962" spans="2:4">
      <c r="B2962" s="76">
        <v>45145</v>
      </c>
      <c r="C2962" s="77">
        <v>152.220001</v>
      </c>
      <c r="D2962" s="78">
        <v>55.450001</v>
      </c>
    </row>
    <row r="2963" spans="2:4">
      <c r="B2963" s="76">
        <v>45146</v>
      </c>
      <c r="C2963" s="77">
        <v>151.699997</v>
      </c>
      <c r="D2963" s="78">
        <v>55.189999</v>
      </c>
    </row>
    <row r="2964" spans="2:4">
      <c r="B2964" s="76">
        <v>45147</v>
      </c>
      <c r="C2964" s="77">
        <v>150.11999499999999</v>
      </c>
      <c r="D2964" s="78">
        <v>54.82</v>
      </c>
    </row>
    <row r="2965" spans="2:4">
      <c r="B2965" s="76">
        <v>45148</v>
      </c>
      <c r="C2965" s="77">
        <v>150.320007</v>
      </c>
      <c r="D2965" s="78">
        <v>54.860000999999997</v>
      </c>
    </row>
    <row r="2966" spans="2:4">
      <c r="B2966" s="76">
        <v>45149</v>
      </c>
      <c r="C2966" s="77">
        <v>147.88999899999999</v>
      </c>
      <c r="D2966" s="78">
        <v>54.799999</v>
      </c>
    </row>
    <row r="2967" spans="2:4">
      <c r="B2967" s="76">
        <v>45152</v>
      </c>
      <c r="C2967" s="77">
        <v>151.85000600000001</v>
      </c>
      <c r="D2967" s="78">
        <v>55.080002</v>
      </c>
    </row>
    <row r="2968" spans="2:4">
      <c r="B2968" s="76">
        <v>45153</v>
      </c>
      <c r="C2968" s="77">
        <v>150.69000199999999</v>
      </c>
      <c r="D2968" s="78">
        <v>54.459999000000003</v>
      </c>
    </row>
    <row r="2969" spans="2:4">
      <c r="B2969" s="76">
        <v>45154</v>
      </c>
      <c r="C2969" s="77">
        <v>147.240005</v>
      </c>
      <c r="D2969" s="78">
        <v>54.049999</v>
      </c>
    </row>
    <row r="2970" spans="2:4">
      <c r="B2970" s="76">
        <v>45155</v>
      </c>
      <c r="C2970" s="77">
        <v>130.05999800000001</v>
      </c>
      <c r="D2970" s="78">
        <v>53.59</v>
      </c>
    </row>
    <row r="2971" spans="2:4">
      <c r="B2971" s="76">
        <v>45156</v>
      </c>
      <c r="C2971" s="77">
        <v>134.13999899999999</v>
      </c>
      <c r="D2971" s="78">
        <v>53.630001</v>
      </c>
    </row>
    <row r="2972" spans="2:4">
      <c r="B2972" s="76">
        <v>45159</v>
      </c>
      <c r="C2972" s="77">
        <v>132.759995</v>
      </c>
      <c r="D2972" s="78">
        <v>53.950001</v>
      </c>
    </row>
    <row r="2973" spans="2:4">
      <c r="B2973" s="76">
        <v>45160</v>
      </c>
      <c r="C2973" s="77">
        <v>131.80999800000001</v>
      </c>
      <c r="D2973" s="78">
        <v>53.799999</v>
      </c>
    </row>
    <row r="2974" spans="2:4">
      <c r="B2974" s="76">
        <v>45161</v>
      </c>
      <c r="C2974" s="77">
        <v>136.61000100000001</v>
      </c>
      <c r="D2974" s="78">
        <v>54.41</v>
      </c>
    </row>
    <row r="2975" spans="2:4">
      <c r="B2975" s="76">
        <v>45162</v>
      </c>
      <c r="C2975" s="77">
        <v>132.83999600000001</v>
      </c>
      <c r="D2975" s="78">
        <v>53.689999</v>
      </c>
    </row>
    <row r="2976" spans="2:4">
      <c r="B2976" s="76">
        <v>45163</v>
      </c>
      <c r="C2976" s="77">
        <v>129.19000199999999</v>
      </c>
      <c r="D2976" s="78">
        <v>54.02</v>
      </c>
    </row>
    <row r="2977" spans="2:4">
      <c r="B2977" s="76">
        <v>45166</v>
      </c>
      <c r="C2977" s="77">
        <v>132.88000500000001</v>
      </c>
      <c r="D2977" s="78">
        <v>54.419998</v>
      </c>
    </row>
    <row r="2978" spans="2:4">
      <c r="B2978" s="76">
        <v>45167</v>
      </c>
      <c r="C2978" s="77">
        <v>139.66999799999999</v>
      </c>
      <c r="D2978" s="78">
        <v>55.200001</v>
      </c>
    </row>
    <row r="2979" spans="2:4">
      <c r="B2979" s="76">
        <v>45168</v>
      </c>
      <c r="C2979" s="77">
        <v>139.86999499999999</v>
      </c>
      <c r="D2979" s="78">
        <v>55.380001</v>
      </c>
    </row>
    <row r="2980" spans="2:4" ht="17.25" thickBot="1">
      <c r="B2980" s="80">
        <v>45169</v>
      </c>
      <c r="C2980" s="81">
        <v>145.03999300000001</v>
      </c>
      <c r="D2980" s="83">
        <v>55.349997999999999</v>
      </c>
    </row>
  </sheetData>
  <mergeCells count="3">
    <mergeCell ref="K2:L2"/>
    <mergeCell ref="B2:D2"/>
    <mergeCell ref="F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31CCF-BB2E-4A4B-82FB-D9157235D51A}">
  <sheetPr>
    <tabColor rgb="FF002060"/>
  </sheetPr>
  <dimension ref="B1:AA24"/>
  <sheetViews>
    <sheetView workbookViewId="0">
      <selection activeCell="B2" sqref="B2"/>
    </sheetView>
  </sheetViews>
  <sheetFormatPr defaultColWidth="9.140625" defaultRowHeight="16.5"/>
  <cols>
    <col min="1" max="1" width="1.28515625" style="21" customWidth="1"/>
    <col min="2" max="2" width="24.42578125" style="21" bestFit="1" customWidth="1"/>
    <col min="3" max="16384" width="9.140625" style="21"/>
  </cols>
  <sheetData>
    <row r="1" spans="2:27" ht="9.9499999999999993" customHeight="1" thickBot="1"/>
    <row r="2" spans="2:27">
      <c r="C2" s="576">
        <v>2023</v>
      </c>
      <c r="D2" s="577"/>
      <c r="E2" s="577"/>
      <c r="F2" s="578"/>
      <c r="G2" s="51"/>
      <c r="H2" s="576">
        <f>C2+1</f>
        <v>2024</v>
      </c>
      <c r="I2" s="577"/>
      <c r="J2" s="577"/>
      <c r="K2" s="578"/>
      <c r="L2" s="51"/>
      <c r="M2" s="576">
        <f>H2+1</f>
        <v>2025</v>
      </c>
      <c r="N2" s="577"/>
      <c r="O2" s="577"/>
      <c r="P2" s="578"/>
      <c r="Q2" s="51"/>
      <c r="R2" s="576">
        <f>M2+1</f>
        <v>2026</v>
      </c>
      <c r="S2" s="577"/>
      <c r="T2" s="577"/>
      <c r="U2" s="578"/>
      <c r="V2" s="51"/>
      <c r="W2" s="576">
        <f>R2+1</f>
        <v>2027</v>
      </c>
      <c r="X2" s="577"/>
      <c r="Y2" s="577"/>
      <c r="Z2" s="578"/>
      <c r="AA2" s="51"/>
    </row>
    <row r="3" spans="2:27" ht="17.25" thickBot="1">
      <c r="C3" s="579" t="s">
        <v>291</v>
      </c>
      <c r="D3" s="580" t="s">
        <v>290</v>
      </c>
      <c r="E3" s="580" t="s">
        <v>289</v>
      </c>
      <c r="F3" s="581" t="s">
        <v>288</v>
      </c>
      <c r="H3" s="579" t="s">
        <v>291</v>
      </c>
      <c r="I3" s="580" t="s">
        <v>290</v>
      </c>
      <c r="J3" s="580" t="s">
        <v>289</v>
      </c>
      <c r="K3" s="581" t="s">
        <v>288</v>
      </c>
      <c r="M3" s="579" t="s">
        <v>291</v>
      </c>
      <c r="N3" s="580" t="s">
        <v>290</v>
      </c>
      <c r="O3" s="580" t="s">
        <v>289</v>
      </c>
      <c r="P3" s="581" t="s">
        <v>288</v>
      </c>
      <c r="R3" s="579" t="s">
        <v>291</v>
      </c>
      <c r="S3" s="580" t="s">
        <v>290</v>
      </c>
      <c r="T3" s="580" t="s">
        <v>289</v>
      </c>
      <c r="U3" s="581" t="s">
        <v>288</v>
      </c>
      <c r="W3" s="579" t="s">
        <v>291</v>
      </c>
      <c r="X3" s="580" t="s">
        <v>290</v>
      </c>
      <c r="Y3" s="580" t="s">
        <v>289</v>
      </c>
      <c r="Z3" s="581" t="s">
        <v>288</v>
      </c>
    </row>
    <row r="4" spans="2:27">
      <c r="B4" s="584" t="s">
        <v>220</v>
      </c>
      <c r="C4" s="582"/>
      <c r="D4" s="114"/>
      <c r="E4" s="114">
        <f>$C$10*(1+($C$12*E5))</f>
        <v>129.11112752042564</v>
      </c>
      <c r="F4" s="583">
        <f>$C$10*(1+($C$12*F5))</f>
        <v>132.53225504085128</v>
      </c>
      <c r="G4" s="114"/>
      <c r="H4" s="582">
        <f>$C$10*(1+($C$12*H5))</f>
        <v>135.95338256127692</v>
      </c>
      <c r="I4" s="114">
        <f>$C$10*(1+($C$12*I5))</f>
        <v>139.37451008170257</v>
      </c>
      <c r="J4" s="114">
        <f>$C$10*(1+($C$12*J5))</f>
        <v>142.79563760212821</v>
      </c>
      <c r="K4" s="583">
        <f>$C$10*(1+($C$12*K5))</f>
        <v>146.21676512255385</v>
      </c>
      <c r="L4" s="114"/>
      <c r="M4" s="582">
        <f>$C$10*(1+($C$12*M5))</f>
        <v>149.63789264297949</v>
      </c>
      <c r="N4" s="114">
        <f>$C$10*(1+($C$12*N5))</f>
        <v>153.05902016340514</v>
      </c>
      <c r="O4" s="114">
        <f>$C$10*(1+($C$12*O5))</f>
        <v>156.48014768383081</v>
      </c>
      <c r="P4" s="583">
        <f>$C$10*(1+($C$12*P5))</f>
        <v>159.90127520425642</v>
      </c>
      <c r="Q4" s="114"/>
      <c r="R4" s="582">
        <f>$C$10*(1+($C$12*R5))</f>
        <v>163.32240272468206</v>
      </c>
      <c r="S4" s="114">
        <f>$C$10*(1+($C$12*S5))</f>
        <v>166.74353024510773</v>
      </c>
      <c r="T4" s="114">
        <f>$C$10*(1+($C$12*T5))</f>
        <v>170.16465776553335</v>
      </c>
      <c r="U4" s="583">
        <f>$C$10*(1+($C$12*U5))</f>
        <v>173.58578528595899</v>
      </c>
      <c r="V4" s="114"/>
      <c r="W4" s="582">
        <f>$C$10*(1+($C$12*W5))</f>
        <v>177.00691280638463</v>
      </c>
      <c r="X4" s="114">
        <f>$C$10*(1+($C$12*X5))</f>
        <v>180.42804032681028</v>
      </c>
      <c r="Y4" s="114">
        <f>$C$10*(1+($C$12*Y5))</f>
        <v>183.84916784723592</v>
      </c>
      <c r="Z4" s="583">
        <f>$C$10*(1+($C$12*Z5))</f>
        <v>187.27029536766156</v>
      </c>
    </row>
    <row r="5" spans="2:27" ht="17.25" thickBot="1">
      <c r="B5" s="585" t="s">
        <v>408</v>
      </c>
      <c r="C5" s="23"/>
      <c r="D5" s="392"/>
      <c r="E5" s="392">
        <v>1</v>
      </c>
      <c r="F5" s="391">
        <f t="shared" ref="F5" si="0">E5+1</f>
        <v>2</v>
      </c>
      <c r="H5" s="23">
        <f>F5+1</f>
        <v>3</v>
      </c>
      <c r="I5" s="392">
        <f>H5+1</f>
        <v>4</v>
      </c>
      <c r="J5" s="392">
        <f>I5+1</f>
        <v>5</v>
      </c>
      <c r="K5" s="391">
        <f>J5+1</f>
        <v>6</v>
      </c>
      <c r="M5" s="23">
        <f>K5+1</f>
        <v>7</v>
      </c>
      <c r="N5" s="392">
        <f>M5+1</f>
        <v>8</v>
      </c>
      <c r="O5" s="392">
        <f>N5+1</f>
        <v>9</v>
      </c>
      <c r="P5" s="391">
        <f>O5+1</f>
        <v>10</v>
      </c>
      <c r="R5" s="23">
        <f>P5+1</f>
        <v>11</v>
      </c>
      <c r="S5" s="392">
        <f>R5+1</f>
        <v>12</v>
      </c>
      <c r="T5" s="392">
        <f>S5+1</f>
        <v>13</v>
      </c>
      <c r="U5" s="391">
        <f>T5+1</f>
        <v>14</v>
      </c>
      <c r="W5" s="23">
        <f>U5+1</f>
        <v>15</v>
      </c>
      <c r="X5" s="392">
        <f>W5+1</f>
        <v>16</v>
      </c>
      <c r="Y5" s="392">
        <f>X5+1</f>
        <v>17</v>
      </c>
      <c r="Z5" s="391">
        <f>Y5+1</f>
        <v>18</v>
      </c>
    </row>
    <row r="7" spans="2:27">
      <c r="D7" s="21" t="s">
        <v>171</v>
      </c>
    </row>
    <row r="8" spans="2:27">
      <c r="B8" s="798" t="s">
        <v>165</v>
      </c>
      <c r="C8" s="798"/>
    </row>
    <row r="9" spans="2:27">
      <c r="B9" s="575" t="s">
        <v>159</v>
      </c>
      <c r="C9" s="594">
        <f>'Tear Sheet'!H8</f>
        <v>0.4899379057018185</v>
      </c>
    </row>
    <row r="10" spans="2:27">
      <c r="B10" s="575" t="s">
        <v>205</v>
      </c>
      <c r="C10" s="611">
        <f>'Tear Sheet'!H10</f>
        <v>125.69</v>
      </c>
    </row>
    <row r="11" spans="2:27">
      <c r="B11" s="575" t="s">
        <v>409</v>
      </c>
      <c r="C11" s="595">
        <v>18</v>
      </c>
    </row>
    <row r="12" spans="2:27">
      <c r="B12" s="575" t="s">
        <v>410</v>
      </c>
      <c r="C12" s="594">
        <f>C9/C11</f>
        <v>2.7218772538989917E-2</v>
      </c>
    </row>
    <row r="24" spans="19:19">
      <c r="S24" s="21" t="s">
        <v>171</v>
      </c>
    </row>
  </sheetData>
  <mergeCells count="1">
    <mergeCell ref="B8:C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5185F-CC9A-4AB5-97AC-C24772F7867A}">
  <dimension ref="A1:Q13"/>
  <sheetViews>
    <sheetView showGridLines="0" workbookViewId="0">
      <selection activeCell="A2" sqref="A2"/>
    </sheetView>
  </sheetViews>
  <sheetFormatPr defaultColWidth="8.85546875" defaultRowHeight="15"/>
  <cols>
    <col min="1" max="1" width="29.42578125" bestFit="1" customWidth="1"/>
    <col min="2" max="2" width="9.42578125" customWidth="1"/>
    <col min="4" max="4" width="11.42578125" bestFit="1" customWidth="1"/>
    <col min="7" max="7" width="44.42578125" bestFit="1" customWidth="1"/>
    <col min="8" max="8" width="11.85546875" bestFit="1" customWidth="1"/>
    <col min="9" max="9" width="14.28515625" bestFit="1" customWidth="1"/>
  </cols>
  <sheetData>
    <row r="1" spans="1:17">
      <c r="A1" s="766" t="s">
        <v>472</v>
      </c>
      <c r="B1" s="766"/>
      <c r="C1" s="766"/>
      <c r="D1" s="766"/>
      <c r="E1" s="766"/>
      <c r="F1" s="766"/>
      <c r="G1" s="766"/>
      <c r="H1" s="766"/>
      <c r="I1" s="766"/>
      <c r="J1" s="766"/>
      <c r="K1" s="766"/>
      <c r="L1" s="766"/>
      <c r="M1" s="766"/>
      <c r="N1" s="766"/>
      <c r="O1" s="766"/>
      <c r="P1" s="766"/>
      <c r="Q1" s="766"/>
    </row>
    <row r="2" spans="1:17" ht="16.5">
      <c r="A2" s="18"/>
      <c r="B2" s="18"/>
      <c r="C2" s="18"/>
      <c r="D2" s="18"/>
      <c r="E2" s="18"/>
      <c r="F2" s="18"/>
      <c r="G2" s="18"/>
      <c r="H2" s="18"/>
      <c r="I2" s="18"/>
      <c r="J2" s="18"/>
      <c r="K2" s="18"/>
      <c r="L2" s="18"/>
      <c r="M2" s="18"/>
      <c r="N2" s="18"/>
      <c r="O2" s="18"/>
      <c r="P2" s="18"/>
      <c r="Q2" s="18"/>
    </row>
    <row r="3" spans="1:17" ht="16.5">
      <c r="A3" s="640" t="s">
        <v>470</v>
      </c>
      <c r="B3" s="641">
        <v>45108</v>
      </c>
      <c r="C3" s="646">
        <v>45139</v>
      </c>
      <c r="D3" s="630" t="s">
        <v>471</v>
      </c>
      <c r="E3" s="18"/>
      <c r="F3" s="18"/>
      <c r="G3" s="18"/>
      <c r="H3" s="646">
        <v>45139</v>
      </c>
      <c r="I3" s="645" t="s">
        <v>474</v>
      </c>
      <c r="J3" s="18"/>
      <c r="K3" s="18"/>
      <c r="L3" s="18"/>
      <c r="M3" s="18"/>
      <c r="N3" s="18"/>
      <c r="O3" s="18"/>
      <c r="P3" s="18"/>
      <c r="Q3" s="18"/>
    </row>
    <row r="4" spans="1:17" ht="16.5">
      <c r="A4" s="18" t="s">
        <v>464</v>
      </c>
      <c r="B4" s="642">
        <v>1443</v>
      </c>
      <c r="C4" s="642">
        <v>1541</v>
      </c>
      <c r="D4" s="644">
        <f>(C4/B4)-1</f>
        <v>6.7914067914067955E-2</v>
      </c>
      <c r="E4" s="18"/>
      <c r="F4" s="18"/>
      <c r="G4" s="18" t="s">
        <v>473</v>
      </c>
      <c r="H4" s="647">
        <v>420385</v>
      </c>
      <c r="I4" s="644">
        <v>2.9000000000000001E-2</v>
      </c>
      <c r="J4" s="18"/>
      <c r="K4" s="18"/>
      <c r="L4" s="18"/>
      <c r="M4" s="18"/>
      <c r="N4" s="18"/>
      <c r="O4" s="18"/>
      <c r="P4" s="18"/>
      <c r="Q4" s="18"/>
    </row>
    <row r="5" spans="1:17" ht="16.5">
      <c r="A5" s="18" t="s">
        <v>465</v>
      </c>
      <c r="B5" s="642">
        <v>1447</v>
      </c>
      <c r="C5" s="642">
        <v>1283</v>
      </c>
      <c r="D5" s="644">
        <f t="shared" ref="D5:D9" si="0">(C5/B5)-1</f>
        <v>-0.11333794056668967</v>
      </c>
      <c r="E5" s="18"/>
      <c r="F5" s="18"/>
      <c r="G5" s="18" t="s">
        <v>475</v>
      </c>
      <c r="H5" s="647">
        <v>480850</v>
      </c>
      <c r="I5" s="644">
        <v>-0.13500000000000001</v>
      </c>
      <c r="J5" s="18"/>
      <c r="K5" s="18"/>
      <c r="L5" s="18"/>
      <c r="M5" s="18"/>
      <c r="N5" s="18"/>
      <c r="O5" s="18"/>
      <c r="P5" s="18"/>
      <c r="Q5" s="18"/>
    </row>
    <row r="6" spans="1:17" ht="16.5">
      <c r="A6" s="18" t="s">
        <v>466</v>
      </c>
      <c r="B6" s="642">
        <v>739</v>
      </c>
      <c r="C6" s="642">
        <v>675</v>
      </c>
      <c r="D6" s="644">
        <f t="shared" si="0"/>
        <v>-8.6603518267929669E-2</v>
      </c>
      <c r="E6" s="18"/>
      <c r="F6" s="18"/>
      <c r="G6" s="18" t="s">
        <v>476</v>
      </c>
      <c r="H6" s="647">
        <v>7.0999999999999994E-2</v>
      </c>
      <c r="I6" s="644">
        <v>1.7999999999999999E-2</v>
      </c>
      <c r="J6" s="18"/>
      <c r="K6" s="18"/>
      <c r="L6" s="18"/>
      <c r="M6" s="18"/>
      <c r="N6" s="18"/>
      <c r="O6" s="18"/>
      <c r="P6" s="18"/>
      <c r="Q6" s="18"/>
    </row>
    <row r="7" spans="1:17" ht="16.5">
      <c r="A7" s="18" t="s">
        <v>467</v>
      </c>
      <c r="B7" s="642">
        <v>0.9</v>
      </c>
      <c r="C7" s="642">
        <v>0.5</v>
      </c>
      <c r="D7" s="644">
        <f t="shared" si="0"/>
        <v>-0.44444444444444442</v>
      </c>
      <c r="E7" s="18"/>
      <c r="F7" s="18"/>
      <c r="G7" s="18" t="s">
        <v>477</v>
      </c>
      <c r="H7" s="647">
        <v>1533031</v>
      </c>
      <c r="I7" s="644">
        <v>-0.17499999999999999</v>
      </c>
      <c r="J7" s="18"/>
      <c r="K7" s="18"/>
      <c r="L7" s="18"/>
      <c r="M7" s="18"/>
      <c r="N7" s="18"/>
      <c r="O7" s="18"/>
      <c r="P7" s="18"/>
      <c r="Q7" s="18"/>
    </row>
    <row r="8" spans="1:17" ht="16.5">
      <c r="A8" s="18" t="s">
        <v>468</v>
      </c>
      <c r="B8" s="642">
        <v>983</v>
      </c>
      <c r="C8" s="642">
        <v>941</v>
      </c>
      <c r="D8" s="644">
        <f t="shared" si="0"/>
        <v>-4.2726347914547325E-2</v>
      </c>
      <c r="E8" s="18"/>
      <c r="F8" s="18"/>
      <c r="G8" s="18" t="s">
        <v>478</v>
      </c>
      <c r="H8" s="647">
        <v>544853</v>
      </c>
      <c r="I8" s="644">
        <v>-0.11899999999999999</v>
      </c>
      <c r="J8" s="18"/>
      <c r="K8" s="18"/>
      <c r="L8" s="18"/>
      <c r="M8" s="18"/>
      <c r="N8" s="18"/>
      <c r="O8" s="18"/>
      <c r="P8" s="18"/>
      <c r="Q8" s="18"/>
    </row>
    <row r="9" spans="1:17" ht="16.5">
      <c r="A9" s="18" t="s">
        <v>469</v>
      </c>
      <c r="B9" s="642">
        <v>453</v>
      </c>
      <c r="C9" s="642">
        <v>334</v>
      </c>
      <c r="D9" s="644">
        <f t="shared" si="0"/>
        <v>-0.26269315673289184</v>
      </c>
      <c r="E9" s="18"/>
      <c r="F9" s="18"/>
      <c r="G9" s="18" t="s">
        <v>479</v>
      </c>
      <c r="H9" s="647">
        <v>31</v>
      </c>
      <c r="I9" s="644">
        <v>0.15</v>
      </c>
      <c r="J9" s="18"/>
      <c r="K9" s="18"/>
      <c r="L9" s="18"/>
      <c r="M9" s="18"/>
      <c r="N9" s="18"/>
      <c r="O9" s="18"/>
      <c r="P9" s="18"/>
      <c r="Q9" s="18"/>
    </row>
    <row r="10" spans="1:17" ht="16.5">
      <c r="G10" s="18" t="s">
        <v>480</v>
      </c>
      <c r="H10" s="647">
        <v>2</v>
      </c>
      <c r="I10" s="644">
        <v>0</v>
      </c>
    </row>
    <row r="13" spans="1:17">
      <c r="I13" s="643"/>
    </row>
  </sheetData>
  <mergeCells count="1">
    <mergeCell ref="A1:Q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5205-D1A9-4DB5-86F0-130B46C3F267}">
  <dimension ref="A1:AB39"/>
  <sheetViews>
    <sheetView zoomScale="80" zoomScaleNormal="80" workbookViewId="0">
      <selection activeCell="A15" sqref="A15"/>
    </sheetView>
  </sheetViews>
  <sheetFormatPr defaultColWidth="8.85546875" defaultRowHeight="15"/>
  <cols>
    <col min="1" max="1" width="150.7109375" customWidth="1"/>
    <col min="2" max="2" width="12.42578125" customWidth="1"/>
    <col min="3" max="3" width="13" customWidth="1"/>
    <col min="4" max="7" width="13.42578125" customWidth="1"/>
    <col min="8" max="8" width="13" customWidth="1"/>
    <col min="9" max="9" width="13.42578125" customWidth="1"/>
    <col min="10" max="10" width="12.85546875" customWidth="1"/>
    <col min="11" max="12" width="13.42578125" customWidth="1"/>
    <col min="13" max="13" width="13" customWidth="1"/>
    <col min="14" max="17" width="13.42578125" customWidth="1"/>
    <col min="18" max="27" width="13.85546875" customWidth="1"/>
    <col min="28" max="28" width="13.85546875" bestFit="1" customWidth="1"/>
  </cols>
  <sheetData>
    <row r="1" spans="1:28">
      <c r="B1" t="s">
        <v>9</v>
      </c>
      <c r="C1" t="s">
        <v>43</v>
      </c>
      <c r="D1" t="s">
        <v>45</v>
      </c>
      <c r="E1" t="s">
        <v>48</v>
      </c>
      <c r="F1" t="s">
        <v>47</v>
      </c>
      <c r="G1" t="s">
        <v>51</v>
      </c>
      <c r="H1" t="s">
        <v>56</v>
      </c>
      <c r="I1" t="s">
        <v>58</v>
      </c>
      <c r="J1" t="s">
        <v>61</v>
      </c>
      <c r="K1" t="s">
        <v>60</v>
      </c>
      <c r="L1" t="s">
        <v>63</v>
      </c>
      <c r="M1" t="s">
        <v>65</v>
      </c>
      <c r="N1" t="s">
        <v>67</v>
      </c>
      <c r="O1" t="s">
        <v>70</v>
      </c>
      <c r="P1" t="s">
        <v>69</v>
      </c>
      <c r="Q1" t="s">
        <v>72</v>
      </c>
      <c r="R1" t="s">
        <v>74</v>
      </c>
      <c r="S1" t="s">
        <v>76</v>
      </c>
      <c r="T1" t="s">
        <v>79</v>
      </c>
      <c r="U1" t="s">
        <v>78</v>
      </c>
      <c r="V1" t="s">
        <v>83</v>
      </c>
      <c r="W1" t="s">
        <v>86</v>
      </c>
      <c r="X1" t="s">
        <v>88</v>
      </c>
      <c r="Y1" t="s">
        <v>91</v>
      </c>
      <c r="Z1" t="s">
        <v>90</v>
      </c>
      <c r="AA1" t="s">
        <v>92</v>
      </c>
      <c r="AB1" t="s">
        <v>95</v>
      </c>
    </row>
    <row r="2" spans="1:28">
      <c r="A2" s="4" t="s">
        <v>10</v>
      </c>
      <c r="B2" s="1" t="s">
        <v>0</v>
      </c>
      <c r="C2" s="1" t="s">
        <v>42</v>
      </c>
      <c r="D2" s="1" t="s">
        <v>44</v>
      </c>
      <c r="E2" s="1"/>
      <c r="F2" s="1" t="s">
        <v>46</v>
      </c>
      <c r="G2" s="1" t="s">
        <v>50</v>
      </c>
      <c r="H2" s="1" t="s">
        <v>55</v>
      </c>
      <c r="I2" s="1" t="s">
        <v>57</v>
      </c>
      <c r="K2" s="1" t="s">
        <v>59</v>
      </c>
      <c r="L2" s="1" t="s">
        <v>62</v>
      </c>
      <c r="M2" s="1" t="s">
        <v>64</v>
      </c>
      <c r="N2" s="1" t="s">
        <v>66</v>
      </c>
      <c r="O2" s="1"/>
      <c r="P2" s="1" t="s">
        <v>68</v>
      </c>
      <c r="Q2" s="1" t="s">
        <v>71</v>
      </c>
      <c r="R2" s="1" t="s">
        <v>73</v>
      </c>
      <c r="S2" s="1" t="s">
        <v>75</v>
      </c>
      <c r="T2" s="1"/>
      <c r="U2" s="1" t="s">
        <v>77</v>
      </c>
      <c r="V2" s="1" t="s">
        <v>82</v>
      </c>
      <c r="W2" s="1" t="s">
        <v>84</v>
      </c>
      <c r="X2" s="1" t="s">
        <v>87</v>
      </c>
      <c r="Y2" s="1"/>
      <c r="Z2" s="1" t="s">
        <v>89</v>
      </c>
      <c r="AA2" s="1" t="s">
        <v>93</v>
      </c>
      <c r="AB2" s="1" t="s">
        <v>94</v>
      </c>
    </row>
    <row r="3" spans="1:28">
      <c r="A3" s="2" t="s">
        <v>11</v>
      </c>
      <c r="W3" s="3" t="s">
        <v>85</v>
      </c>
      <c r="X3" s="3" t="s">
        <v>85</v>
      </c>
      <c r="Y3" s="3"/>
      <c r="Z3" s="3" t="s">
        <v>85</v>
      </c>
      <c r="AA3" s="3" t="s">
        <v>85</v>
      </c>
      <c r="AB3" s="3" t="s">
        <v>85</v>
      </c>
    </row>
    <row r="4" spans="1:28">
      <c r="A4" s="3" t="s">
        <v>12</v>
      </c>
      <c r="B4" s="6">
        <v>10069</v>
      </c>
      <c r="C4" s="6">
        <v>13196</v>
      </c>
      <c r="D4" s="6">
        <v>34446</v>
      </c>
      <c r="E4" s="6">
        <f>F4</f>
        <v>10127</v>
      </c>
      <c r="F4" s="6">
        <v>10127</v>
      </c>
      <c r="G4" s="6">
        <v>11724</v>
      </c>
      <c r="H4" s="6">
        <v>10552</v>
      </c>
      <c r="I4" s="6">
        <v>43271</v>
      </c>
      <c r="J4" s="7">
        <f>K4</f>
        <v>14096</v>
      </c>
      <c r="K4" s="6">
        <v>14096</v>
      </c>
      <c r="L4" s="6">
        <v>163872</v>
      </c>
      <c r="M4" s="6">
        <v>385461</v>
      </c>
      <c r="N4" s="6">
        <v>340927</v>
      </c>
      <c r="O4" s="6">
        <f>P4</f>
        <v>423806</v>
      </c>
      <c r="P4" s="6">
        <v>423806</v>
      </c>
      <c r="Q4" s="6">
        <v>19118</v>
      </c>
      <c r="R4" s="6">
        <v>90266</v>
      </c>
      <c r="S4" s="6">
        <v>224735</v>
      </c>
      <c r="T4" s="6">
        <f>U4</f>
        <v>42603</v>
      </c>
      <c r="U4" s="6">
        <v>42603</v>
      </c>
      <c r="V4" s="6">
        <v>281802</v>
      </c>
      <c r="W4" s="6">
        <v>166185</v>
      </c>
      <c r="X4" s="6">
        <v>84982</v>
      </c>
      <c r="Y4" s="6">
        <f>Z4</f>
        <v>80445</v>
      </c>
      <c r="Z4" s="6">
        <v>80445</v>
      </c>
      <c r="AA4" s="6">
        <v>144407</v>
      </c>
      <c r="AB4" s="6">
        <v>89316</v>
      </c>
    </row>
    <row r="5" spans="1:28">
      <c r="A5" s="3" t="s">
        <v>13</v>
      </c>
      <c r="B5" s="5">
        <v>710448</v>
      </c>
      <c r="C5" s="5">
        <v>820396</v>
      </c>
      <c r="D5" s="5">
        <v>805317</v>
      </c>
      <c r="E5" s="6">
        <f t="shared" ref="E5:E7" si="0">F5</f>
        <v>654170</v>
      </c>
      <c r="F5" s="5">
        <v>654170</v>
      </c>
      <c r="G5" s="5">
        <v>648942</v>
      </c>
      <c r="H5" s="5">
        <v>715405</v>
      </c>
      <c r="I5" s="5">
        <v>721134</v>
      </c>
      <c r="J5" s="7">
        <f t="shared" ref="J5:J7" si="1">K5</f>
        <v>614946</v>
      </c>
      <c r="K5" s="5">
        <v>614946</v>
      </c>
      <c r="L5" s="5">
        <v>702192</v>
      </c>
      <c r="M5" s="5">
        <v>719684</v>
      </c>
      <c r="N5" s="5">
        <v>860842</v>
      </c>
      <c r="O5" s="6">
        <f t="shared" ref="O5:O8" si="2">P5</f>
        <v>880018</v>
      </c>
      <c r="P5" s="5">
        <v>880018</v>
      </c>
      <c r="Q5" s="5">
        <v>1749650</v>
      </c>
      <c r="R5" s="5">
        <v>2174674</v>
      </c>
      <c r="S5" s="5">
        <v>2134269</v>
      </c>
      <c r="T5" s="6">
        <f t="shared" ref="T5:T39" si="3">U5</f>
        <v>1708796</v>
      </c>
      <c r="U5" s="5">
        <v>1708796</v>
      </c>
      <c r="V5" s="5">
        <v>2290513</v>
      </c>
      <c r="W5" s="5">
        <v>2407841</v>
      </c>
      <c r="X5" s="5">
        <v>1924912</v>
      </c>
      <c r="Y5" s="6">
        <f t="shared" ref="Y5:Y39" si="4">Z5</f>
        <v>1448139</v>
      </c>
      <c r="Z5" s="5">
        <v>1448139</v>
      </c>
      <c r="AA5" s="5">
        <v>1429939</v>
      </c>
      <c r="AB5" s="5">
        <v>1618666</v>
      </c>
    </row>
    <row r="6" spans="1:28">
      <c r="A6" s="3" t="s">
        <v>14</v>
      </c>
      <c r="B6" s="5">
        <v>60762</v>
      </c>
      <c r="C6" s="5">
        <v>71345</v>
      </c>
      <c r="D6" s="5">
        <v>59389</v>
      </c>
      <c r="E6" s="6">
        <f t="shared" si="0"/>
        <v>68637</v>
      </c>
      <c r="F6" s="5">
        <v>68637</v>
      </c>
      <c r="G6" s="5">
        <v>50833</v>
      </c>
      <c r="H6" s="5">
        <v>54257</v>
      </c>
      <c r="I6" s="5">
        <v>49526</v>
      </c>
      <c r="J6" s="7">
        <f t="shared" si="1"/>
        <v>77447</v>
      </c>
      <c r="K6" s="5">
        <v>77447</v>
      </c>
      <c r="L6" s="5">
        <v>54647</v>
      </c>
      <c r="M6" s="5">
        <v>45164</v>
      </c>
      <c r="N6" s="5">
        <v>64626</v>
      </c>
      <c r="O6" s="6">
        <f t="shared" si="2"/>
        <v>76436</v>
      </c>
      <c r="P6" s="5">
        <v>76436</v>
      </c>
      <c r="Q6" s="5">
        <v>96835</v>
      </c>
      <c r="R6" s="5">
        <v>137304</v>
      </c>
      <c r="S6" s="5">
        <v>167309</v>
      </c>
      <c r="T6" s="6">
        <f t="shared" si="3"/>
        <v>255075</v>
      </c>
      <c r="U6" s="5">
        <v>255075</v>
      </c>
      <c r="V6" s="5">
        <v>223070</v>
      </c>
      <c r="W6" s="5">
        <v>228191</v>
      </c>
      <c r="X6" s="5">
        <v>268694</v>
      </c>
      <c r="Y6" s="6">
        <f t="shared" si="4"/>
        <v>234966</v>
      </c>
      <c r="Z6" s="5">
        <v>234966</v>
      </c>
      <c r="AA6" s="5">
        <v>144605</v>
      </c>
      <c r="AB6" s="5">
        <v>245893</v>
      </c>
    </row>
    <row r="7" spans="1:28">
      <c r="A7" s="3" t="s">
        <v>15</v>
      </c>
      <c r="B7" s="5">
        <v>678790</v>
      </c>
      <c r="C7" s="5">
        <v>782757</v>
      </c>
      <c r="D7" s="5">
        <v>679471</v>
      </c>
      <c r="E7" s="6">
        <f t="shared" si="0"/>
        <v>596896</v>
      </c>
      <c r="F7" s="5">
        <v>596896</v>
      </c>
      <c r="G7" s="5">
        <v>635499</v>
      </c>
      <c r="H7" s="5">
        <v>617527</v>
      </c>
      <c r="I7" s="5">
        <v>581543</v>
      </c>
      <c r="J7" s="7">
        <f t="shared" si="1"/>
        <v>561255</v>
      </c>
      <c r="K7" s="5">
        <v>561255</v>
      </c>
      <c r="L7" s="5">
        <v>640048</v>
      </c>
      <c r="M7" s="5">
        <v>615142</v>
      </c>
      <c r="N7" s="5">
        <v>751149</v>
      </c>
      <c r="O7" s="6">
        <f t="shared" si="2"/>
        <v>784527</v>
      </c>
      <c r="P7" s="5">
        <v>784527</v>
      </c>
      <c r="Q7" s="5">
        <v>1585612</v>
      </c>
      <c r="R7" s="5">
        <v>2074448</v>
      </c>
      <c r="S7" s="5">
        <v>1616553</v>
      </c>
      <c r="T7" s="6">
        <f t="shared" si="3"/>
        <v>1626244</v>
      </c>
      <c r="U7" s="5">
        <v>1626244</v>
      </c>
      <c r="V7" s="5">
        <v>2188056</v>
      </c>
      <c r="W7" s="5">
        <v>2065349</v>
      </c>
      <c r="X7" s="5">
        <v>1758881</v>
      </c>
      <c r="Y7" s="6">
        <f t="shared" si="4"/>
        <v>1426196</v>
      </c>
      <c r="Z7" s="5">
        <v>1426196</v>
      </c>
      <c r="AA7" s="5">
        <v>1336163</v>
      </c>
      <c r="AB7" s="5">
        <v>1362250</v>
      </c>
    </row>
    <row r="8" spans="1:28">
      <c r="A8" s="3" t="s">
        <v>80</v>
      </c>
      <c r="B8" s="5">
        <v>0</v>
      </c>
      <c r="C8" s="5">
        <v>0</v>
      </c>
      <c r="D8" s="5">
        <v>0</v>
      </c>
      <c r="E8" s="5">
        <v>0</v>
      </c>
      <c r="F8" s="5">
        <v>0</v>
      </c>
      <c r="G8" s="5">
        <v>0</v>
      </c>
      <c r="H8" s="5">
        <v>0</v>
      </c>
      <c r="I8" s="5">
        <v>0</v>
      </c>
      <c r="J8" s="5">
        <v>0</v>
      </c>
      <c r="K8" s="5">
        <v>0</v>
      </c>
      <c r="L8" s="5">
        <v>0</v>
      </c>
      <c r="M8" s="5">
        <v>0</v>
      </c>
      <c r="N8" s="5">
        <v>0</v>
      </c>
      <c r="O8" s="6">
        <f t="shared" si="2"/>
        <v>0</v>
      </c>
      <c r="P8" s="5">
        <v>0</v>
      </c>
      <c r="Q8" s="5">
        <v>0</v>
      </c>
      <c r="R8" s="5">
        <v>0</v>
      </c>
      <c r="S8" s="5">
        <v>0</v>
      </c>
      <c r="T8" s="6">
        <f t="shared" si="3"/>
        <v>207587</v>
      </c>
      <c r="U8" s="5">
        <v>207587</v>
      </c>
      <c r="V8" s="5">
        <v>240668</v>
      </c>
      <c r="W8" s="5">
        <v>270714</v>
      </c>
      <c r="X8" s="5">
        <v>240346</v>
      </c>
      <c r="Y8" s="6">
        <f t="shared" si="4"/>
        <v>183700</v>
      </c>
      <c r="Z8" s="5">
        <v>183700</v>
      </c>
      <c r="AA8" s="5">
        <v>176116</v>
      </c>
      <c r="AB8" s="5">
        <v>190514</v>
      </c>
    </row>
    <row r="9" spans="1:28">
      <c r="A9" s="3" t="s">
        <v>16</v>
      </c>
      <c r="B9" s="5">
        <v>43046</v>
      </c>
      <c r="C9" s="5">
        <v>39258</v>
      </c>
      <c r="D9" s="5">
        <v>35351</v>
      </c>
      <c r="E9" s="6">
        <f>F9</f>
        <v>43921</v>
      </c>
      <c r="F9" s="5">
        <v>43921</v>
      </c>
      <c r="G9" s="5">
        <v>38756</v>
      </c>
      <c r="H9" s="5">
        <v>36217</v>
      </c>
      <c r="I9" s="5">
        <v>34603</v>
      </c>
      <c r="J9" s="7">
        <f t="shared" ref="J9:J22" si="5">K9</f>
        <v>39123</v>
      </c>
      <c r="K9" s="5">
        <v>39123</v>
      </c>
      <c r="L9" s="5">
        <v>44122</v>
      </c>
      <c r="M9" s="5">
        <v>36136</v>
      </c>
      <c r="N9" s="5">
        <v>44198</v>
      </c>
      <c r="O9" s="6">
        <f t="shared" ref="O9:O18" si="6">P9</f>
        <v>58895</v>
      </c>
      <c r="P9" s="5">
        <v>58895</v>
      </c>
      <c r="Q9" s="5">
        <v>119453</v>
      </c>
      <c r="R9" s="5">
        <v>438383</v>
      </c>
      <c r="S9" s="5">
        <v>88368</v>
      </c>
      <c r="T9" s="6">
        <f t="shared" si="3"/>
        <v>127964</v>
      </c>
      <c r="U9" s="5">
        <v>127964</v>
      </c>
      <c r="V9" s="5">
        <v>155824</v>
      </c>
      <c r="W9" s="5">
        <v>139036</v>
      </c>
      <c r="X9" s="5">
        <v>142316</v>
      </c>
      <c r="Y9" s="6">
        <f t="shared" si="4"/>
        <v>124201</v>
      </c>
      <c r="Z9" s="5">
        <v>124201</v>
      </c>
      <c r="AA9" s="5">
        <v>116059</v>
      </c>
      <c r="AB9" s="5">
        <v>98578</v>
      </c>
    </row>
    <row r="10" spans="1:28">
      <c r="A10" s="3" t="s">
        <v>17</v>
      </c>
      <c r="B10" s="5">
        <v>1503115</v>
      </c>
      <c r="C10" s="5">
        <v>1726952</v>
      </c>
      <c r="D10" s="5">
        <v>1613974</v>
      </c>
      <c r="E10" s="6">
        <f>F10</f>
        <v>1373751</v>
      </c>
      <c r="F10" s="5">
        <v>1373751</v>
      </c>
      <c r="G10" s="5">
        <v>1385754</v>
      </c>
      <c r="H10" s="5">
        <v>1433958</v>
      </c>
      <c r="I10" s="5">
        <v>1430077</v>
      </c>
      <c r="J10" s="7">
        <f t="shared" si="5"/>
        <v>1306867</v>
      </c>
      <c r="K10" s="5">
        <v>1306867</v>
      </c>
      <c r="L10" s="5">
        <v>1604881</v>
      </c>
      <c r="M10" s="5">
        <v>1801587</v>
      </c>
      <c r="N10" s="5">
        <v>2061742</v>
      </c>
      <c r="O10" s="6">
        <f t="shared" si="6"/>
        <v>2223682</v>
      </c>
      <c r="P10" s="5">
        <v>2223682</v>
      </c>
      <c r="Q10" s="5">
        <v>3570668</v>
      </c>
      <c r="R10" s="5">
        <v>4915075</v>
      </c>
      <c r="S10" s="5">
        <v>4231234</v>
      </c>
      <c r="T10" s="6">
        <f t="shared" si="3"/>
        <v>3968269</v>
      </c>
      <c r="U10" s="5">
        <v>3968269</v>
      </c>
      <c r="V10" s="5">
        <v>5379933</v>
      </c>
      <c r="W10" s="5">
        <v>5277316</v>
      </c>
      <c r="X10" s="5">
        <v>4420131</v>
      </c>
      <c r="Y10" s="6">
        <f t="shared" si="4"/>
        <v>3497647</v>
      </c>
      <c r="Z10" s="5">
        <v>3497647</v>
      </c>
      <c r="AA10" s="5">
        <v>3347289</v>
      </c>
      <c r="AB10" s="5">
        <v>3605217</v>
      </c>
    </row>
    <row r="11" spans="1:28">
      <c r="A11" s="3" t="s">
        <v>18</v>
      </c>
      <c r="B11" s="5">
        <v>643721</v>
      </c>
      <c r="C11" s="5">
        <v>655572</v>
      </c>
      <c r="D11" s="5">
        <v>665732</v>
      </c>
      <c r="E11" s="6">
        <f>F11</f>
        <v>670075</v>
      </c>
      <c r="F11" s="5">
        <v>670075</v>
      </c>
      <c r="G11" s="5">
        <v>669055</v>
      </c>
      <c r="H11" s="5">
        <v>675310</v>
      </c>
      <c r="I11" s="5">
        <v>696154</v>
      </c>
      <c r="J11" s="7">
        <f t="shared" si="5"/>
        <v>721887</v>
      </c>
      <c r="K11" s="5">
        <v>721887</v>
      </c>
      <c r="L11" s="5">
        <v>730738</v>
      </c>
      <c r="M11" s="5">
        <v>743542</v>
      </c>
      <c r="N11" s="5">
        <v>750841</v>
      </c>
      <c r="O11" s="6">
        <f t="shared" si="6"/>
        <v>749130</v>
      </c>
      <c r="P11" s="5">
        <v>749130</v>
      </c>
      <c r="Q11" s="5">
        <v>1297756</v>
      </c>
      <c r="R11" s="5">
        <v>1300680</v>
      </c>
      <c r="S11" s="5">
        <v>1336890</v>
      </c>
      <c r="T11" s="6">
        <f t="shared" si="3"/>
        <v>1385441</v>
      </c>
      <c r="U11" s="5">
        <v>1385441</v>
      </c>
      <c r="V11" s="5">
        <v>1385998</v>
      </c>
      <c r="W11" s="5">
        <v>1420722</v>
      </c>
      <c r="X11" s="5">
        <v>1491622</v>
      </c>
      <c r="Y11" s="6">
        <f t="shared" si="4"/>
        <v>1567631</v>
      </c>
      <c r="Z11" s="5">
        <v>1567631</v>
      </c>
      <c r="AA11" s="5">
        <v>1605575</v>
      </c>
      <c r="AB11" s="5">
        <v>1676244</v>
      </c>
    </row>
    <row r="12" spans="1:28">
      <c r="A12" s="3" t="s">
        <v>19</v>
      </c>
      <c r="B12" s="5">
        <v>5273</v>
      </c>
      <c r="C12" s="5">
        <v>8153</v>
      </c>
      <c r="D12" s="5">
        <v>7874</v>
      </c>
      <c r="E12" s="6">
        <f>F12</f>
        <v>0</v>
      </c>
      <c r="F12" s="5">
        <v>0</v>
      </c>
      <c r="G12" s="5">
        <v>0</v>
      </c>
      <c r="H12" s="5">
        <v>0</v>
      </c>
      <c r="I12" s="5">
        <v>0</v>
      </c>
      <c r="J12" s="7">
        <f t="shared" si="5"/>
        <v>0</v>
      </c>
      <c r="K12" s="5">
        <v>0</v>
      </c>
      <c r="L12" s="5">
        <v>0</v>
      </c>
      <c r="M12" s="5">
        <v>0</v>
      </c>
      <c r="N12" s="5">
        <v>0</v>
      </c>
      <c r="O12" s="6">
        <f t="shared" si="6"/>
        <v>0</v>
      </c>
      <c r="P12" s="5">
        <v>0</v>
      </c>
      <c r="Q12" s="5">
        <v>0</v>
      </c>
      <c r="R12" s="5">
        <v>0</v>
      </c>
      <c r="S12" s="5">
        <v>0</v>
      </c>
      <c r="T12" s="6">
        <f t="shared" si="3"/>
        <v>0</v>
      </c>
      <c r="U12" s="5">
        <v>0</v>
      </c>
      <c r="V12" s="5">
        <v>0</v>
      </c>
      <c r="W12" s="5">
        <v>0</v>
      </c>
      <c r="X12" s="5">
        <v>0</v>
      </c>
      <c r="Y12" s="6">
        <f t="shared" si="4"/>
        <v>0</v>
      </c>
      <c r="Z12" s="5">
        <v>0</v>
      </c>
      <c r="AA12" s="5">
        <v>0</v>
      </c>
      <c r="AB12" s="5">
        <v>0</v>
      </c>
    </row>
    <row r="13" spans="1:28">
      <c r="A13" s="3" t="s">
        <v>52</v>
      </c>
      <c r="B13" s="5">
        <v>0</v>
      </c>
      <c r="C13" s="5">
        <v>0</v>
      </c>
      <c r="D13" s="5">
        <v>0</v>
      </c>
      <c r="E13" s="5">
        <v>0</v>
      </c>
      <c r="F13" s="5">
        <v>0</v>
      </c>
      <c r="G13" s="5">
        <v>269640</v>
      </c>
      <c r="H13" s="5">
        <v>273971</v>
      </c>
      <c r="I13" s="5">
        <v>286971</v>
      </c>
      <c r="J13" s="7">
        <f t="shared" si="5"/>
        <v>292684</v>
      </c>
      <c r="K13" s="5">
        <v>292684</v>
      </c>
      <c r="L13" s="5">
        <v>285964</v>
      </c>
      <c r="M13" s="5">
        <v>286354</v>
      </c>
      <c r="N13" s="5">
        <v>278075</v>
      </c>
      <c r="O13" s="6">
        <f t="shared" si="6"/>
        <v>274562</v>
      </c>
      <c r="P13" s="5">
        <v>274562</v>
      </c>
      <c r="Q13" s="5">
        <v>442440</v>
      </c>
      <c r="R13" s="5">
        <v>429940</v>
      </c>
      <c r="S13" s="5">
        <v>444073</v>
      </c>
      <c r="T13" s="6">
        <f t="shared" si="3"/>
        <v>457833</v>
      </c>
      <c r="U13" s="5">
        <v>457833</v>
      </c>
      <c r="V13" s="5">
        <v>446876</v>
      </c>
      <c r="W13" s="5">
        <v>483545</v>
      </c>
      <c r="X13" s="5">
        <v>500031</v>
      </c>
      <c r="Y13" s="6">
        <f t="shared" si="4"/>
        <v>485704</v>
      </c>
      <c r="Z13" s="5">
        <v>485704</v>
      </c>
      <c r="AA13" s="5">
        <v>484710</v>
      </c>
      <c r="AB13" s="5">
        <v>483991</v>
      </c>
    </row>
    <row r="14" spans="1:28">
      <c r="A14" s="3" t="s">
        <v>20</v>
      </c>
      <c r="B14" s="5">
        <v>740411</v>
      </c>
      <c r="C14" s="5">
        <v>740411</v>
      </c>
      <c r="D14" s="5">
        <v>740411</v>
      </c>
      <c r="E14" s="6">
        <f t="shared" ref="E14:E22" si="7">F14</f>
        <v>740411</v>
      </c>
      <c r="F14" s="5">
        <v>740411</v>
      </c>
      <c r="G14" s="5">
        <v>740411</v>
      </c>
      <c r="H14" s="5">
        <v>740411</v>
      </c>
      <c r="I14" s="5">
        <v>754765</v>
      </c>
      <c r="J14" s="7">
        <f t="shared" si="5"/>
        <v>769022</v>
      </c>
      <c r="K14" s="5">
        <v>769022</v>
      </c>
      <c r="L14" s="5">
        <v>777283</v>
      </c>
      <c r="M14" s="5">
        <v>777283</v>
      </c>
      <c r="N14" s="5">
        <v>777283</v>
      </c>
      <c r="O14" s="6">
        <f t="shared" si="6"/>
        <v>785305</v>
      </c>
      <c r="P14" s="5">
        <v>785305</v>
      </c>
      <c r="Q14" s="5">
        <v>2536909</v>
      </c>
      <c r="R14" s="5">
        <v>2535360</v>
      </c>
      <c r="S14" s="5">
        <v>3141594</v>
      </c>
      <c r="T14" s="6">
        <f t="shared" si="3"/>
        <v>3270192</v>
      </c>
      <c r="U14" s="5">
        <v>3270192</v>
      </c>
      <c r="V14" s="5">
        <v>3270192</v>
      </c>
      <c r="W14" s="5">
        <v>3336291</v>
      </c>
      <c r="X14" s="5">
        <v>3453340</v>
      </c>
      <c r="Y14" s="6">
        <f t="shared" si="4"/>
        <v>3456854</v>
      </c>
      <c r="Z14" s="5">
        <v>3456854</v>
      </c>
      <c r="AA14" s="5">
        <v>3495355</v>
      </c>
      <c r="AB14" s="5">
        <v>3499819</v>
      </c>
    </row>
    <row r="15" spans="1:28">
      <c r="A15" s="3" t="s">
        <v>21</v>
      </c>
      <c r="B15" s="5">
        <v>126360</v>
      </c>
      <c r="C15" s="5">
        <v>119424</v>
      </c>
      <c r="D15" s="5">
        <v>111266</v>
      </c>
      <c r="E15" s="6">
        <f t="shared" si="7"/>
        <v>103154</v>
      </c>
      <c r="F15" s="5">
        <v>103154</v>
      </c>
      <c r="G15" s="5">
        <v>99286</v>
      </c>
      <c r="H15" s="5">
        <v>95417</v>
      </c>
      <c r="I15" s="5">
        <v>101303</v>
      </c>
      <c r="J15" s="7">
        <f t="shared" si="5"/>
        <v>128388</v>
      </c>
      <c r="K15" s="5">
        <v>128388</v>
      </c>
      <c r="L15" s="5">
        <v>132165</v>
      </c>
      <c r="M15" s="5">
        <v>126519</v>
      </c>
      <c r="N15" s="5">
        <v>121145</v>
      </c>
      <c r="O15" s="6">
        <f t="shared" si="6"/>
        <v>119882</v>
      </c>
      <c r="P15" s="5">
        <v>119882</v>
      </c>
      <c r="Q15" s="5">
        <v>1501250</v>
      </c>
      <c r="R15" s="5">
        <v>1422649</v>
      </c>
      <c r="S15" s="5">
        <v>1629363</v>
      </c>
      <c r="T15" s="6">
        <f t="shared" si="3"/>
        <v>1603409</v>
      </c>
      <c r="U15" s="5">
        <v>1603409</v>
      </c>
      <c r="V15" s="5">
        <v>1537695</v>
      </c>
      <c r="W15" s="5">
        <v>1534242</v>
      </c>
      <c r="X15" s="5">
        <v>1637358</v>
      </c>
      <c r="Y15" s="6">
        <f t="shared" si="4"/>
        <v>1550944</v>
      </c>
      <c r="Z15" s="5">
        <v>1550944</v>
      </c>
      <c r="AA15" s="5">
        <v>1493049</v>
      </c>
      <c r="AB15" s="5">
        <v>1412377</v>
      </c>
    </row>
    <row r="16" spans="1:28">
      <c r="A16" s="3" t="s">
        <v>22</v>
      </c>
      <c r="B16" s="5">
        <v>73092</v>
      </c>
      <c r="C16" s="5">
        <v>55726</v>
      </c>
      <c r="D16" s="5">
        <v>38760</v>
      </c>
      <c r="E16" s="6">
        <f t="shared" si="7"/>
        <v>22766</v>
      </c>
      <c r="F16" s="5">
        <v>22766</v>
      </c>
      <c r="G16" s="5">
        <v>13128</v>
      </c>
      <c r="H16" s="5">
        <v>7343</v>
      </c>
      <c r="I16" s="5">
        <v>5055</v>
      </c>
      <c r="J16" s="7">
        <f t="shared" si="5"/>
        <v>8417</v>
      </c>
      <c r="K16" s="5">
        <v>8417</v>
      </c>
      <c r="L16" s="5">
        <v>8393</v>
      </c>
      <c r="M16" s="5">
        <v>7693</v>
      </c>
      <c r="N16" s="5">
        <v>5977</v>
      </c>
      <c r="O16" s="6">
        <f t="shared" si="6"/>
        <v>4653</v>
      </c>
      <c r="P16" s="5">
        <v>4653</v>
      </c>
      <c r="Q16" s="5">
        <v>0</v>
      </c>
      <c r="R16" s="5">
        <v>0</v>
      </c>
      <c r="S16" s="5">
        <v>0</v>
      </c>
      <c r="T16" s="6">
        <f t="shared" si="3"/>
        <v>0</v>
      </c>
      <c r="U16" s="5">
        <v>0</v>
      </c>
      <c r="V16" s="5">
        <v>0</v>
      </c>
      <c r="W16" s="5">
        <v>0</v>
      </c>
      <c r="X16" s="5">
        <v>0</v>
      </c>
      <c r="Y16" s="6">
        <f t="shared" si="4"/>
        <v>0</v>
      </c>
      <c r="Z16" s="5">
        <v>0</v>
      </c>
      <c r="AA16" s="5">
        <v>0</v>
      </c>
      <c r="AB16" s="5">
        <v>0</v>
      </c>
    </row>
    <row r="17" spans="1:28">
      <c r="A17" s="3" t="s">
        <v>23</v>
      </c>
      <c r="B17" s="5">
        <v>17717</v>
      </c>
      <c r="C17" s="5">
        <v>16614</v>
      </c>
      <c r="D17" s="5">
        <v>15568</v>
      </c>
      <c r="E17" s="6">
        <f t="shared" si="7"/>
        <v>22152</v>
      </c>
      <c r="F17" s="5">
        <v>22152</v>
      </c>
      <c r="G17" s="5">
        <v>22191</v>
      </c>
      <c r="H17" s="5">
        <v>23561</v>
      </c>
      <c r="I17" s="5">
        <v>23434</v>
      </c>
      <c r="J17" s="7">
        <f t="shared" si="5"/>
        <v>22225</v>
      </c>
      <c r="K17" s="5">
        <v>22225</v>
      </c>
      <c r="L17" s="5">
        <v>21934</v>
      </c>
      <c r="M17" s="5">
        <v>21700</v>
      </c>
      <c r="N17" s="5">
        <v>19871</v>
      </c>
      <c r="O17" s="6">
        <f t="shared" si="6"/>
        <v>16457</v>
      </c>
      <c r="P17" s="5">
        <v>16457</v>
      </c>
      <c r="Q17" s="5">
        <v>30483</v>
      </c>
      <c r="R17" s="5">
        <v>22390</v>
      </c>
      <c r="S17" s="5">
        <v>25994</v>
      </c>
      <c r="T17" s="6">
        <f t="shared" si="3"/>
        <v>29199</v>
      </c>
      <c r="U17" s="5">
        <v>29199</v>
      </c>
      <c r="V17" s="5">
        <v>30491</v>
      </c>
      <c r="W17" s="5">
        <v>33786</v>
      </c>
      <c r="X17" s="5">
        <v>35216</v>
      </c>
      <c r="Y17" s="6">
        <f t="shared" si="4"/>
        <v>36380</v>
      </c>
      <c r="Z17" s="5">
        <v>36380</v>
      </c>
      <c r="AA17" s="5">
        <v>50938</v>
      </c>
      <c r="AB17" s="5">
        <v>55464</v>
      </c>
    </row>
    <row r="18" spans="1:28">
      <c r="A18" s="3" t="s">
        <v>24</v>
      </c>
      <c r="B18" s="5">
        <v>3109689</v>
      </c>
      <c r="C18" s="5">
        <v>3322852</v>
      </c>
      <c r="D18" s="5">
        <v>3193585</v>
      </c>
      <c r="E18" s="6">
        <f t="shared" si="7"/>
        <v>2932309</v>
      </c>
      <c r="F18" s="5">
        <v>2932309</v>
      </c>
      <c r="G18" s="5">
        <v>3199465</v>
      </c>
      <c r="H18" s="5">
        <v>3249971</v>
      </c>
      <c r="I18" s="5">
        <v>3297759</v>
      </c>
      <c r="J18" s="7">
        <f t="shared" si="5"/>
        <v>3249490</v>
      </c>
      <c r="K18" s="5">
        <v>3249490</v>
      </c>
      <c r="L18" s="5">
        <v>3561358</v>
      </c>
      <c r="M18" s="5">
        <v>3764678</v>
      </c>
      <c r="N18" s="5">
        <v>4014934</v>
      </c>
      <c r="O18" s="6">
        <f t="shared" si="6"/>
        <v>4173671</v>
      </c>
      <c r="P18" s="5">
        <v>4173671</v>
      </c>
      <c r="Q18" s="5">
        <v>9379506</v>
      </c>
      <c r="R18" s="5">
        <v>10626094</v>
      </c>
      <c r="S18" s="5">
        <v>10809148</v>
      </c>
      <c r="T18" s="6">
        <f t="shared" si="3"/>
        <v>10714343</v>
      </c>
      <c r="U18" s="5">
        <v>10714343</v>
      </c>
      <c r="V18" s="5">
        <v>12051185</v>
      </c>
      <c r="W18" s="5">
        <v>12085902</v>
      </c>
      <c r="X18" s="5">
        <v>11537698</v>
      </c>
      <c r="Y18" s="6">
        <f t="shared" si="4"/>
        <v>10595160</v>
      </c>
      <c r="Z18" s="5">
        <v>10595160</v>
      </c>
      <c r="AA18" s="5">
        <v>10476916</v>
      </c>
      <c r="AB18" s="5">
        <v>10733112</v>
      </c>
    </row>
    <row r="19" spans="1:28">
      <c r="A19" s="2" t="s">
        <v>25</v>
      </c>
      <c r="E19" s="6">
        <f t="shared" si="7"/>
        <v>0</v>
      </c>
      <c r="J19" s="7">
        <f t="shared" si="5"/>
        <v>0</v>
      </c>
      <c r="O19" s="6"/>
      <c r="T19" s="6">
        <f t="shared" si="3"/>
        <v>0</v>
      </c>
      <c r="W19" s="3" t="s">
        <v>85</v>
      </c>
      <c r="X19" s="3" t="s">
        <v>85</v>
      </c>
      <c r="Y19" s="6" t="str">
        <f t="shared" si="4"/>
        <v> </v>
      </c>
      <c r="Z19" s="3" t="s">
        <v>85</v>
      </c>
      <c r="AA19" s="3" t="s">
        <v>85</v>
      </c>
      <c r="AB19" s="3" t="s">
        <v>85</v>
      </c>
    </row>
    <row r="20" spans="1:28">
      <c r="A20" s="3" t="s">
        <v>26</v>
      </c>
      <c r="B20" s="5">
        <v>30996</v>
      </c>
      <c r="C20" s="5">
        <v>19849</v>
      </c>
      <c r="D20" s="5">
        <v>13531</v>
      </c>
      <c r="E20" s="6">
        <f t="shared" si="7"/>
        <v>0</v>
      </c>
      <c r="F20" s="5">
        <v>0</v>
      </c>
      <c r="G20" s="5">
        <v>0</v>
      </c>
      <c r="H20" s="5">
        <v>0</v>
      </c>
      <c r="I20" s="5">
        <v>0</v>
      </c>
      <c r="J20" s="7">
        <f t="shared" si="5"/>
        <v>0</v>
      </c>
      <c r="K20" s="5">
        <v>0</v>
      </c>
      <c r="L20" s="5">
        <v>0</v>
      </c>
      <c r="M20" s="5">
        <v>0</v>
      </c>
      <c r="N20" s="5">
        <v>0</v>
      </c>
      <c r="O20" s="6">
        <f>P20</f>
        <v>0</v>
      </c>
      <c r="P20" s="5">
        <v>0</v>
      </c>
      <c r="Q20" s="5">
        <v>0</v>
      </c>
      <c r="R20" s="5">
        <v>0</v>
      </c>
      <c r="S20" s="5">
        <v>0</v>
      </c>
      <c r="T20" s="6">
        <f t="shared" si="3"/>
        <v>0</v>
      </c>
      <c r="U20" s="5">
        <v>0</v>
      </c>
      <c r="V20" s="5">
        <v>0</v>
      </c>
      <c r="W20" s="5">
        <v>0</v>
      </c>
      <c r="X20" s="5">
        <v>0</v>
      </c>
      <c r="Y20" s="6">
        <f t="shared" si="4"/>
        <v>0</v>
      </c>
      <c r="Z20" s="5">
        <v>0</v>
      </c>
      <c r="AA20" s="5">
        <v>0</v>
      </c>
      <c r="AB20" s="5">
        <v>0</v>
      </c>
    </row>
    <row r="21" spans="1:28">
      <c r="A21" s="3" t="s">
        <v>27</v>
      </c>
      <c r="B21" s="5">
        <v>488178</v>
      </c>
      <c r="C21" s="5">
        <v>562549</v>
      </c>
      <c r="D21" s="5">
        <v>487775</v>
      </c>
      <c r="E21" s="6">
        <f t="shared" si="7"/>
        <v>423168</v>
      </c>
      <c r="F21" s="5">
        <v>423168</v>
      </c>
      <c r="G21" s="5">
        <v>471338</v>
      </c>
      <c r="H21" s="5">
        <v>516897</v>
      </c>
      <c r="I21" s="5">
        <v>499360</v>
      </c>
      <c r="J21" s="7">
        <f t="shared" si="5"/>
        <v>436823</v>
      </c>
      <c r="K21" s="5">
        <v>436823</v>
      </c>
      <c r="L21" s="5">
        <v>551548</v>
      </c>
      <c r="M21" s="5">
        <v>554394</v>
      </c>
      <c r="N21" s="5">
        <v>651332</v>
      </c>
      <c r="O21" s="6">
        <f>P21</f>
        <v>600357</v>
      </c>
      <c r="P21" s="5">
        <v>600357</v>
      </c>
      <c r="Q21" s="5">
        <v>1123804</v>
      </c>
      <c r="R21" s="5">
        <v>1318446</v>
      </c>
      <c r="S21" s="5">
        <v>1004521</v>
      </c>
      <c r="T21" s="6">
        <f t="shared" si="3"/>
        <v>1093370</v>
      </c>
      <c r="U21" s="5">
        <v>1093370</v>
      </c>
      <c r="V21" s="5">
        <v>1563334</v>
      </c>
      <c r="W21" s="5">
        <v>1265461</v>
      </c>
      <c r="X21" s="5">
        <v>1087994</v>
      </c>
      <c r="Y21" s="6">
        <f t="shared" si="4"/>
        <v>803479</v>
      </c>
      <c r="Z21" s="5">
        <v>803479</v>
      </c>
      <c r="AA21" s="5">
        <v>938938</v>
      </c>
      <c r="AB21" s="5">
        <v>1061965</v>
      </c>
    </row>
    <row r="22" spans="1:28">
      <c r="A22" s="3" t="s">
        <v>28</v>
      </c>
      <c r="B22" s="5">
        <v>187804</v>
      </c>
      <c r="C22" s="5">
        <v>250381</v>
      </c>
      <c r="D22" s="5">
        <v>255836</v>
      </c>
      <c r="E22" s="6">
        <f t="shared" si="7"/>
        <v>292526</v>
      </c>
      <c r="F22" s="5">
        <v>292526</v>
      </c>
      <c r="G22" s="5">
        <v>189237</v>
      </c>
      <c r="H22" s="5">
        <v>258096</v>
      </c>
      <c r="I22" s="5">
        <v>289735</v>
      </c>
      <c r="J22" s="7">
        <f t="shared" si="5"/>
        <v>308950</v>
      </c>
      <c r="K22" s="5">
        <v>308950</v>
      </c>
      <c r="L22" s="5">
        <v>223319</v>
      </c>
      <c r="M22" s="5">
        <v>292851</v>
      </c>
      <c r="N22" s="5">
        <v>342059</v>
      </c>
      <c r="O22" s="6">
        <f>P22</f>
        <v>385536</v>
      </c>
      <c r="P22" s="5">
        <v>385536</v>
      </c>
      <c r="Q22" s="5">
        <v>628924</v>
      </c>
      <c r="R22" s="5">
        <v>831852</v>
      </c>
      <c r="S22" s="5">
        <v>930189</v>
      </c>
      <c r="T22" s="6">
        <f t="shared" si="3"/>
        <v>718904</v>
      </c>
      <c r="U22" s="5">
        <v>718904</v>
      </c>
      <c r="V22" s="5">
        <v>772373</v>
      </c>
      <c r="W22" s="5">
        <v>904934</v>
      </c>
      <c r="X22" s="5">
        <v>850758</v>
      </c>
      <c r="Y22" s="6">
        <f t="shared" si="4"/>
        <v>739009</v>
      </c>
      <c r="Z22" s="5">
        <v>739009</v>
      </c>
      <c r="AA22" s="5">
        <v>593422</v>
      </c>
      <c r="AB22" s="5">
        <v>599623</v>
      </c>
    </row>
    <row r="23" spans="1:28">
      <c r="A23" s="3" t="s">
        <v>81</v>
      </c>
      <c r="B23" s="5">
        <v>0</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6">
        <f t="shared" si="3"/>
        <v>216097</v>
      </c>
      <c r="U23" s="5">
        <v>216097</v>
      </c>
      <c r="V23" s="5">
        <v>249478</v>
      </c>
      <c r="W23" s="5">
        <v>259029</v>
      </c>
      <c r="X23" s="5">
        <v>250166</v>
      </c>
      <c r="Y23" s="6">
        <f t="shared" si="4"/>
        <v>193178</v>
      </c>
      <c r="Z23" s="5">
        <v>193178</v>
      </c>
      <c r="AA23" s="5">
        <v>194195</v>
      </c>
      <c r="AB23" s="5">
        <v>190262</v>
      </c>
    </row>
    <row r="24" spans="1:28">
      <c r="A24" s="3" t="s">
        <v>53</v>
      </c>
      <c r="B24" s="5">
        <v>0</v>
      </c>
      <c r="C24" s="5">
        <v>0</v>
      </c>
      <c r="D24" s="5">
        <v>0</v>
      </c>
      <c r="E24" s="5">
        <v>0</v>
      </c>
      <c r="F24" s="5">
        <v>0</v>
      </c>
      <c r="G24" s="5">
        <v>60291</v>
      </c>
      <c r="H24" s="5">
        <v>60576</v>
      </c>
      <c r="I24" s="5">
        <v>60280</v>
      </c>
      <c r="J24" s="7">
        <f t="shared" ref="J24:J32" si="8">K24</f>
        <v>61653</v>
      </c>
      <c r="K24" s="5">
        <v>61653</v>
      </c>
      <c r="L24" s="5">
        <v>61628</v>
      </c>
      <c r="M24" s="5">
        <v>61887</v>
      </c>
      <c r="N24" s="5">
        <v>61953</v>
      </c>
      <c r="O24" s="6">
        <f t="shared" ref="O24:O32" si="9">P24</f>
        <v>61625</v>
      </c>
      <c r="P24" s="5">
        <v>61625</v>
      </c>
      <c r="Q24" s="5">
        <v>94316</v>
      </c>
      <c r="R24" s="5">
        <v>91134</v>
      </c>
      <c r="S24" s="5">
        <v>94651</v>
      </c>
      <c r="T24" s="6">
        <f t="shared" si="3"/>
        <v>96680</v>
      </c>
      <c r="U24" s="5">
        <v>96680</v>
      </c>
      <c r="V24" s="5">
        <v>94968</v>
      </c>
      <c r="W24" s="5">
        <v>96504</v>
      </c>
      <c r="X24" s="5">
        <v>100972</v>
      </c>
      <c r="Y24" s="6">
        <f t="shared" si="4"/>
        <v>100758</v>
      </c>
      <c r="Z24" s="5">
        <v>100758</v>
      </c>
      <c r="AA24" s="5">
        <v>100946</v>
      </c>
      <c r="AB24" s="5">
        <v>99692</v>
      </c>
    </row>
    <row r="25" spans="1:28">
      <c r="A25" s="3" t="s">
        <v>29</v>
      </c>
      <c r="B25" s="5">
        <v>12413</v>
      </c>
      <c r="C25" s="5">
        <v>13971</v>
      </c>
      <c r="D25" s="5">
        <v>14620</v>
      </c>
      <c r="E25" s="6">
        <f>F25</f>
        <v>15565</v>
      </c>
      <c r="F25" s="5">
        <v>15565</v>
      </c>
      <c r="G25" s="5">
        <v>17045</v>
      </c>
      <c r="H25" s="5">
        <v>12650</v>
      </c>
      <c r="I25" s="5">
        <v>14370</v>
      </c>
      <c r="J25" s="7">
        <f t="shared" si="8"/>
        <v>13875</v>
      </c>
      <c r="K25" s="5">
        <v>13875</v>
      </c>
      <c r="L25" s="5">
        <v>22518</v>
      </c>
      <c r="M25" s="5">
        <v>23974</v>
      </c>
      <c r="N25" s="5">
        <v>29527</v>
      </c>
      <c r="O25" s="6">
        <f t="shared" si="9"/>
        <v>27335</v>
      </c>
      <c r="P25" s="5">
        <v>27335</v>
      </c>
      <c r="Q25" s="5">
        <v>14134</v>
      </c>
      <c r="R25" s="5">
        <v>11316</v>
      </c>
      <c r="S25" s="5">
        <v>3819</v>
      </c>
      <c r="T25" s="6">
        <f t="shared" si="3"/>
        <v>3660</v>
      </c>
      <c r="U25" s="5">
        <v>3660</v>
      </c>
      <c r="V25" s="5">
        <v>2914</v>
      </c>
      <c r="W25" s="5">
        <v>2885</v>
      </c>
      <c r="X25" s="5">
        <v>3837</v>
      </c>
      <c r="Y25" s="6">
        <f t="shared" si="4"/>
        <v>6355</v>
      </c>
      <c r="Z25" s="5">
        <v>6355</v>
      </c>
      <c r="AA25" s="5">
        <v>4430</v>
      </c>
      <c r="AB25" s="5">
        <v>4314</v>
      </c>
    </row>
    <row r="26" spans="1:28">
      <c r="A26" s="3" t="s">
        <v>30</v>
      </c>
      <c r="B26" s="5">
        <v>719391</v>
      </c>
      <c r="C26" s="5">
        <v>846750</v>
      </c>
      <c r="D26" s="5">
        <v>771762</v>
      </c>
      <c r="E26" s="6">
        <f>F26</f>
        <v>731259</v>
      </c>
      <c r="F26" s="5">
        <v>731259</v>
      </c>
      <c r="G26" s="5">
        <v>737911</v>
      </c>
      <c r="H26" s="5">
        <v>848219</v>
      </c>
      <c r="I26" s="5">
        <v>863745</v>
      </c>
      <c r="J26" s="7">
        <f t="shared" si="8"/>
        <v>821301</v>
      </c>
      <c r="K26" s="5">
        <v>821301</v>
      </c>
      <c r="L26" s="5">
        <v>859013</v>
      </c>
      <c r="M26" s="5">
        <v>933106</v>
      </c>
      <c r="N26" s="5">
        <v>1084871</v>
      </c>
      <c r="O26" s="6">
        <f t="shared" si="9"/>
        <v>1074853</v>
      </c>
      <c r="P26" s="5">
        <v>1074853</v>
      </c>
      <c r="Q26" s="5">
        <v>1861178</v>
      </c>
      <c r="R26" s="5">
        <v>2252748</v>
      </c>
      <c r="S26" s="5">
        <v>2033180</v>
      </c>
      <c r="T26" s="6">
        <f t="shared" si="3"/>
        <v>2128711</v>
      </c>
      <c r="U26" s="5">
        <v>2128711</v>
      </c>
      <c r="V26" s="5">
        <v>2683067</v>
      </c>
      <c r="W26" s="5">
        <v>2528813</v>
      </c>
      <c r="X26" s="5">
        <v>2293727</v>
      </c>
      <c r="Y26" s="6">
        <f t="shared" si="4"/>
        <v>1842779</v>
      </c>
      <c r="Z26" s="5">
        <v>1842779</v>
      </c>
      <c r="AA26" s="5">
        <v>1831931</v>
      </c>
      <c r="AB26" s="5">
        <v>1955856</v>
      </c>
    </row>
    <row r="27" spans="1:28">
      <c r="A27" s="3" t="s">
        <v>54</v>
      </c>
      <c r="B27" s="5">
        <v>0</v>
      </c>
      <c r="C27" s="5">
        <v>0</v>
      </c>
      <c r="D27" s="5">
        <v>0</v>
      </c>
      <c r="E27" s="5">
        <v>0</v>
      </c>
      <c r="F27" s="5">
        <v>0</v>
      </c>
      <c r="G27" s="5">
        <v>213841</v>
      </c>
      <c r="H27" s="5">
        <v>218001</v>
      </c>
      <c r="I27" s="5">
        <v>232475</v>
      </c>
      <c r="J27" s="7">
        <f t="shared" si="8"/>
        <v>236948</v>
      </c>
      <c r="K27" s="5">
        <v>236948</v>
      </c>
      <c r="L27" s="5">
        <v>230355</v>
      </c>
      <c r="M27" s="5">
        <v>230634</v>
      </c>
      <c r="N27" s="5">
        <v>222132</v>
      </c>
      <c r="O27" s="6">
        <f t="shared" si="9"/>
        <v>219239</v>
      </c>
      <c r="P27" s="5">
        <v>219239</v>
      </c>
      <c r="Q27" s="5">
        <v>356549</v>
      </c>
      <c r="R27" s="5">
        <v>347823</v>
      </c>
      <c r="S27" s="5">
        <v>360271</v>
      </c>
      <c r="T27" s="6">
        <f t="shared" si="3"/>
        <v>375289</v>
      </c>
      <c r="U27" s="5">
        <v>375289</v>
      </c>
      <c r="V27" s="5">
        <v>366524</v>
      </c>
      <c r="W27" s="5">
        <v>401995</v>
      </c>
      <c r="X27" s="5">
        <v>414911</v>
      </c>
      <c r="Y27" s="6">
        <f t="shared" si="4"/>
        <v>404463</v>
      </c>
      <c r="Z27" s="5">
        <v>404463</v>
      </c>
      <c r="AA27" s="5">
        <v>403812</v>
      </c>
      <c r="AB27" s="5">
        <v>409231</v>
      </c>
    </row>
    <row r="28" spans="1:28">
      <c r="A28" s="3" t="s">
        <v>31</v>
      </c>
      <c r="B28" s="5">
        <v>1928410</v>
      </c>
      <c r="C28" s="5">
        <v>1954243</v>
      </c>
      <c r="D28" s="5">
        <v>1826962</v>
      </c>
      <c r="E28" s="6">
        <f>F28</f>
        <v>1545729</v>
      </c>
      <c r="F28" s="5">
        <v>1545729</v>
      </c>
      <c r="G28" s="5">
        <v>1562085</v>
      </c>
      <c r="H28" s="5">
        <v>1420462</v>
      </c>
      <c r="I28" s="5">
        <v>1350467</v>
      </c>
      <c r="J28" s="7">
        <f t="shared" si="8"/>
        <v>1277398</v>
      </c>
      <c r="K28" s="5">
        <v>1277398</v>
      </c>
      <c r="L28" s="5">
        <v>1545211</v>
      </c>
      <c r="M28" s="5">
        <v>1577884</v>
      </c>
      <c r="N28" s="5">
        <v>1574146</v>
      </c>
      <c r="O28" s="6">
        <f t="shared" si="9"/>
        <v>1596905</v>
      </c>
      <c r="P28" s="5">
        <v>1596905</v>
      </c>
      <c r="Q28" s="5">
        <v>1658109</v>
      </c>
      <c r="R28" s="5">
        <v>2043817</v>
      </c>
      <c r="S28" s="5">
        <v>2419664</v>
      </c>
      <c r="T28" s="6">
        <f t="shared" si="3"/>
        <v>2926122</v>
      </c>
      <c r="U28" s="5">
        <v>2926122</v>
      </c>
      <c r="V28" s="5">
        <v>3391629</v>
      </c>
      <c r="W28" s="5">
        <v>3552362</v>
      </c>
      <c r="X28" s="5">
        <v>3169429</v>
      </c>
      <c r="Y28" s="6">
        <f t="shared" si="4"/>
        <v>2977842</v>
      </c>
      <c r="Z28" s="5">
        <v>2977842</v>
      </c>
      <c r="AA28" s="5">
        <v>3194428</v>
      </c>
      <c r="AB28" s="5">
        <v>3670400</v>
      </c>
    </row>
    <row r="29" spans="1:28">
      <c r="A29" s="3" t="s">
        <v>22</v>
      </c>
      <c r="B29" s="5">
        <v>0</v>
      </c>
      <c r="C29" s="5">
        <v>0</v>
      </c>
      <c r="D29" s="5">
        <v>0</v>
      </c>
      <c r="E29" s="5">
        <v>0</v>
      </c>
      <c r="F29" s="5">
        <v>0</v>
      </c>
      <c r="G29" s="5">
        <v>0</v>
      </c>
      <c r="H29" s="5">
        <v>5967</v>
      </c>
      <c r="I29" s="5">
        <v>18836</v>
      </c>
      <c r="J29" s="7">
        <f t="shared" si="8"/>
        <v>36645</v>
      </c>
      <c r="K29" s="5">
        <v>36645</v>
      </c>
      <c r="L29" s="5">
        <v>37496</v>
      </c>
      <c r="M29" s="5">
        <v>38169</v>
      </c>
      <c r="N29" s="5">
        <v>37360</v>
      </c>
      <c r="O29" s="6">
        <f t="shared" si="9"/>
        <v>49495</v>
      </c>
      <c r="P29" s="5">
        <v>49495</v>
      </c>
      <c r="Q29" s="5">
        <v>390577</v>
      </c>
      <c r="R29" s="5">
        <v>362061</v>
      </c>
      <c r="S29" s="5">
        <v>330998</v>
      </c>
      <c r="T29" s="6">
        <f t="shared" si="3"/>
        <v>362121</v>
      </c>
      <c r="U29" s="5">
        <v>362121</v>
      </c>
      <c r="V29" s="5">
        <v>354723</v>
      </c>
      <c r="W29" s="5">
        <v>339494</v>
      </c>
      <c r="X29" s="5">
        <v>304939</v>
      </c>
      <c r="Y29" s="6">
        <f t="shared" si="4"/>
        <v>269660</v>
      </c>
      <c r="Z29" s="5">
        <v>269660</v>
      </c>
      <c r="AA29" s="5">
        <v>248191</v>
      </c>
      <c r="AB29" s="5">
        <v>231758</v>
      </c>
    </row>
    <row r="30" spans="1:28">
      <c r="A30" s="3" t="s">
        <v>32</v>
      </c>
      <c r="B30" s="5">
        <v>60915</v>
      </c>
      <c r="C30" s="5">
        <v>60388</v>
      </c>
      <c r="D30" s="5">
        <v>56546</v>
      </c>
      <c r="E30" s="6">
        <f t="shared" ref="E30:E39" si="10">F30</f>
        <v>58983</v>
      </c>
      <c r="F30" s="5">
        <v>58983</v>
      </c>
      <c r="G30" s="5">
        <v>53157</v>
      </c>
      <c r="H30" s="5">
        <v>53191</v>
      </c>
      <c r="I30" s="5">
        <v>53235</v>
      </c>
      <c r="J30" s="7">
        <f t="shared" si="8"/>
        <v>52245</v>
      </c>
      <c r="K30" s="5">
        <v>52245</v>
      </c>
      <c r="L30" s="5">
        <v>55745</v>
      </c>
      <c r="M30" s="5">
        <v>68951</v>
      </c>
      <c r="N30" s="5">
        <v>88560</v>
      </c>
      <c r="O30" s="6">
        <f t="shared" si="9"/>
        <v>80396</v>
      </c>
      <c r="P30" s="5">
        <v>80396</v>
      </c>
      <c r="Q30" s="5">
        <v>129148</v>
      </c>
      <c r="R30" s="5">
        <v>137190</v>
      </c>
      <c r="S30" s="5">
        <v>141609</v>
      </c>
      <c r="T30" s="6">
        <f t="shared" si="3"/>
        <v>119619</v>
      </c>
      <c r="U30" s="5">
        <v>119619</v>
      </c>
      <c r="V30" s="5">
        <v>119195</v>
      </c>
      <c r="W30" s="5">
        <v>126885</v>
      </c>
      <c r="X30" s="5">
        <v>130089</v>
      </c>
      <c r="Y30" s="6">
        <f t="shared" si="4"/>
        <v>137850</v>
      </c>
      <c r="Z30" s="5">
        <v>137850</v>
      </c>
      <c r="AA30" s="5">
        <v>141322</v>
      </c>
      <c r="AB30" s="5">
        <v>123807</v>
      </c>
    </row>
    <row r="31" spans="1:28">
      <c r="A31" s="3" t="s">
        <v>33</v>
      </c>
      <c r="B31" s="5">
        <v>2708716</v>
      </c>
      <c r="C31" s="5">
        <v>2861381</v>
      </c>
      <c r="D31" s="5">
        <v>2655270</v>
      </c>
      <c r="E31" s="6">
        <f t="shared" si="10"/>
        <v>2335971</v>
      </c>
      <c r="F31" s="5">
        <v>2335971</v>
      </c>
      <c r="G31" s="5">
        <v>2566994</v>
      </c>
      <c r="H31" s="5">
        <v>2545840</v>
      </c>
      <c r="I31" s="5">
        <v>2518758</v>
      </c>
      <c r="J31" s="7">
        <f t="shared" si="8"/>
        <v>2424537</v>
      </c>
      <c r="K31" s="5">
        <v>2424537</v>
      </c>
      <c r="L31" s="5">
        <v>2727820</v>
      </c>
      <c r="M31" s="5">
        <v>2848744</v>
      </c>
      <c r="N31" s="5">
        <v>3007069</v>
      </c>
      <c r="O31" s="6">
        <f t="shared" si="9"/>
        <v>3020888</v>
      </c>
      <c r="P31" s="5">
        <v>3020888</v>
      </c>
      <c r="Q31" s="5">
        <v>4395561</v>
      </c>
      <c r="R31" s="5">
        <v>5143639</v>
      </c>
      <c r="S31" s="5">
        <v>5285722</v>
      </c>
      <c r="T31" s="6">
        <f t="shared" si="3"/>
        <v>5911862</v>
      </c>
      <c r="U31" s="5">
        <v>5911862</v>
      </c>
      <c r="V31" s="5">
        <v>6915138</v>
      </c>
      <c r="W31" s="5">
        <v>6949549</v>
      </c>
      <c r="X31" s="5">
        <v>6313095</v>
      </c>
      <c r="Y31" s="6">
        <f t="shared" si="4"/>
        <v>5632594</v>
      </c>
      <c r="Z31" s="5">
        <v>5632594</v>
      </c>
      <c r="AA31" s="5">
        <v>5819684</v>
      </c>
      <c r="AB31" s="5">
        <v>6391052</v>
      </c>
    </row>
    <row r="32" spans="1:28">
      <c r="A32" s="3" t="s">
        <v>34</v>
      </c>
      <c r="B32" s="3" t="s">
        <v>35</v>
      </c>
      <c r="C32" s="3" t="s">
        <v>35</v>
      </c>
      <c r="D32" s="3" t="s">
        <v>35</v>
      </c>
      <c r="E32" s="6" t="str">
        <f t="shared" si="10"/>
        <v xml:space="preserve"> </v>
      </c>
      <c r="F32" s="3" t="s">
        <v>35</v>
      </c>
      <c r="G32" s="3" t="s">
        <v>35</v>
      </c>
      <c r="H32" s="3" t="s">
        <v>35</v>
      </c>
      <c r="I32" s="3" t="s">
        <v>35</v>
      </c>
      <c r="J32" s="7" t="str">
        <f t="shared" si="8"/>
        <v xml:space="preserve"> </v>
      </c>
      <c r="K32" s="3" t="s">
        <v>35</v>
      </c>
      <c r="L32" s="3" t="s">
        <v>35</v>
      </c>
      <c r="M32" s="3" t="s">
        <v>35</v>
      </c>
      <c r="N32" s="3" t="s">
        <v>35</v>
      </c>
      <c r="O32" s="6" t="str">
        <f t="shared" si="9"/>
        <v xml:space="preserve"> </v>
      </c>
      <c r="P32" s="3" t="s">
        <v>35</v>
      </c>
      <c r="Q32" s="3" t="s">
        <v>35</v>
      </c>
      <c r="R32" s="3" t="s">
        <v>35</v>
      </c>
      <c r="S32" s="3" t="s">
        <v>35</v>
      </c>
      <c r="T32" s="6" t="str">
        <f t="shared" si="3"/>
        <v xml:space="preserve"> </v>
      </c>
      <c r="U32" s="3" t="s">
        <v>35</v>
      </c>
      <c r="V32" s="3" t="s">
        <v>35</v>
      </c>
      <c r="W32" s="3" t="s">
        <v>35</v>
      </c>
      <c r="X32" s="3" t="s">
        <v>35</v>
      </c>
      <c r="Y32" s="6" t="str">
        <f t="shared" si="4"/>
        <v xml:space="preserve"> </v>
      </c>
      <c r="Z32" s="3" t="s">
        <v>35</v>
      </c>
      <c r="AA32" s="3" t="s">
        <v>35</v>
      </c>
      <c r="AB32" s="3" t="s">
        <v>35</v>
      </c>
    </row>
    <row r="33" spans="1:28">
      <c r="A33" s="2" t="s">
        <v>36</v>
      </c>
      <c r="E33" s="6">
        <f t="shared" si="10"/>
        <v>0</v>
      </c>
      <c r="J33" s="7"/>
      <c r="O33" s="6"/>
      <c r="T33" s="6">
        <f t="shared" si="3"/>
        <v>0</v>
      </c>
      <c r="W33" s="3" t="s">
        <v>85</v>
      </c>
      <c r="X33" s="3" t="s">
        <v>85</v>
      </c>
      <c r="Y33" s="6" t="str">
        <f t="shared" si="4"/>
        <v> </v>
      </c>
      <c r="Z33" s="3" t="s">
        <v>85</v>
      </c>
      <c r="AA33" s="3" t="s">
        <v>85</v>
      </c>
      <c r="AB33" s="3" t="s">
        <v>85</v>
      </c>
    </row>
    <row r="34" spans="1:28">
      <c r="A34" s="3" t="s">
        <v>37</v>
      </c>
      <c r="B34" s="3" t="s">
        <v>35</v>
      </c>
      <c r="C34" s="3" t="s">
        <v>35</v>
      </c>
      <c r="D34" s="3" t="s">
        <v>35</v>
      </c>
      <c r="E34" s="6" t="str">
        <f t="shared" si="10"/>
        <v xml:space="preserve"> </v>
      </c>
      <c r="F34" s="3" t="s">
        <v>35</v>
      </c>
      <c r="G34" s="3" t="s">
        <v>35</v>
      </c>
      <c r="H34" s="3" t="s">
        <v>35</v>
      </c>
      <c r="I34" s="3" t="s">
        <v>35</v>
      </c>
      <c r="J34" s="7" t="str">
        <f t="shared" ref="J34:J39" si="11">K34</f>
        <v xml:space="preserve"> </v>
      </c>
      <c r="K34" s="3" t="s">
        <v>35</v>
      </c>
      <c r="L34" s="3" t="s">
        <v>35</v>
      </c>
      <c r="M34" s="3" t="s">
        <v>35</v>
      </c>
      <c r="N34" s="3" t="s">
        <v>35</v>
      </c>
      <c r="O34" s="6" t="str">
        <f t="shared" ref="O34:O39" si="12">P34</f>
        <v xml:space="preserve"> </v>
      </c>
      <c r="P34" s="3" t="s">
        <v>35</v>
      </c>
      <c r="Q34" s="3" t="s">
        <v>35</v>
      </c>
      <c r="R34" s="3" t="s">
        <v>35</v>
      </c>
      <c r="S34" s="3" t="s">
        <v>35</v>
      </c>
      <c r="T34" s="6" t="str">
        <f t="shared" si="3"/>
        <v xml:space="preserve"> </v>
      </c>
      <c r="U34" s="3" t="s">
        <v>35</v>
      </c>
      <c r="V34" s="3" t="s">
        <v>35</v>
      </c>
      <c r="W34" s="3" t="s">
        <v>35</v>
      </c>
      <c r="X34" s="3" t="s">
        <v>35</v>
      </c>
      <c r="Y34" s="6" t="str">
        <f t="shared" si="4"/>
        <v xml:space="preserve"> </v>
      </c>
      <c r="Z34" s="3" t="s">
        <v>35</v>
      </c>
      <c r="AA34" s="3" t="s">
        <v>35</v>
      </c>
      <c r="AB34" s="3" t="s">
        <v>35</v>
      </c>
    </row>
    <row r="35" spans="1:28">
      <c r="A35" s="3" t="s">
        <v>38</v>
      </c>
      <c r="B35" s="5">
        <v>1146</v>
      </c>
      <c r="C35" s="5">
        <v>1147</v>
      </c>
      <c r="D35" s="5">
        <v>1147</v>
      </c>
      <c r="E35" s="6">
        <f t="shared" si="10"/>
        <v>1151</v>
      </c>
      <c r="F35" s="5">
        <v>1151</v>
      </c>
      <c r="G35" s="5">
        <v>1156</v>
      </c>
      <c r="H35" s="5">
        <v>1159</v>
      </c>
      <c r="I35" s="5">
        <v>1158</v>
      </c>
      <c r="J35" s="7">
        <f t="shared" si="11"/>
        <v>1161</v>
      </c>
      <c r="K35" s="5">
        <v>1161</v>
      </c>
      <c r="L35" s="5">
        <v>1165</v>
      </c>
      <c r="M35" s="5">
        <v>1167</v>
      </c>
      <c r="N35" s="5">
        <v>1168</v>
      </c>
      <c r="O35" s="6">
        <f t="shared" si="12"/>
        <v>1168</v>
      </c>
      <c r="P35" s="5">
        <v>1168</v>
      </c>
      <c r="Q35" s="5">
        <v>2069</v>
      </c>
      <c r="R35" s="5">
        <v>2072</v>
      </c>
      <c r="S35" s="5">
        <v>1963</v>
      </c>
      <c r="T35" s="6">
        <f t="shared" si="3"/>
        <v>1798</v>
      </c>
      <c r="U35" s="5">
        <v>1798</v>
      </c>
      <c r="V35" s="5">
        <v>1769</v>
      </c>
      <c r="W35" s="5">
        <v>1602</v>
      </c>
      <c r="X35" s="5">
        <v>1490</v>
      </c>
      <c r="Y35" s="6">
        <f t="shared" si="4"/>
        <v>1389</v>
      </c>
      <c r="Z35" s="5">
        <v>1389</v>
      </c>
      <c r="AA35" s="5">
        <v>1318</v>
      </c>
      <c r="AB35" s="5">
        <v>1250</v>
      </c>
    </row>
    <row r="36" spans="1:28">
      <c r="A36" s="3" t="s">
        <v>39</v>
      </c>
      <c r="B36" s="5">
        <v>546832</v>
      </c>
      <c r="C36" s="5">
        <v>550707</v>
      </c>
      <c r="D36" s="5">
        <v>554223</v>
      </c>
      <c r="E36" s="6">
        <f t="shared" si="10"/>
        <v>560221</v>
      </c>
      <c r="F36" s="5">
        <v>560221</v>
      </c>
      <c r="G36" s="5">
        <v>560641</v>
      </c>
      <c r="H36" s="5">
        <v>565694</v>
      </c>
      <c r="I36" s="5">
        <v>570373</v>
      </c>
      <c r="J36" s="7">
        <f t="shared" si="11"/>
        <v>574955</v>
      </c>
      <c r="K36" s="5">
        <v>574955</v>
      </c>
      <c r="L36" s="5">
        <v>574769</v>
      </c>
      <c r="M36" s="5">
        <v>578239</v>
      </c>
      <c r="N36" s="5">
        <v>584237</v>
      </c>
      <c r="O36" s="6">
        <f t="shared" si="12"/>
        <v>589241</v>
      </c>
      <c r="P36" s="5">
        <v>589241</v>
      </c>
      <c r="Q36" s="5">
        <v>4246922</v>
      </c>
      <c r="R36" s="5">
        <v>4248194</v>
      </c>
      <c r="S36" s="5">
        <v>4254262</v>
      </c>
      <c r="T36" s="6">
        <f t="shared" si="3"/>
        <v>4260670</v>
      </c>
      <c r="U36" s="5">
        <v>4260670</v>
      </c>
      <c r="V36" s="5">
        <v>4240540</v>
      </c>
      <c r="W36" s="5">
        <v>4244374</v>
      </c>
      <c r="X36" s="5">
        <v>4252851</v>
      </c>
      <c r="Y36" s="6">
        <f t="shared" si="4"/>
        <v>4257667</v>
      </c>
      <c r="Z36" s="5">
        <v>4257667</v>
      </c>
      <c r="AA36" s="5">
        <v>4246151</v>
      </c>
      <c r="AB36" s="5">
        <v>4249053</v>
      </c>
    </row>
    <row r="37" spans="1:28">
      <c r="A37" s="3" t="s">
        <v>49</v>
      </c>
      <c r="B37" s="5">
        <v>-147005</v>
      </c>
      <c r="C37" s="5">
        <v>-90383</v>
      </c>
      <c r="D37" s="5">
        <v>-17055</v>
      </c>
      <c r="E37" s="6">
        <f t="shared" si="10"/>
        <v>34966</v>
      </c>
      <c r="F37" s="5">
        <v>34966</v>
      </c>
      <c r="G37" s="5">
        <v>70674</v>
      </c>
      <c r="H37" s="5">
        <v>137278</v>
      </c>
      <c r="I37" s="5">
        <v>207470</v>
      </c>
      <c r="J37" s="7">
        <f t="shared" si="11"/>
        <v>248837</v>
      </c>
      <c r="K37" s="5">
        <v>248837</v>
      </c>
      <c r="L37" s="5">
        <v>257604</v>
      </c>
      <c r="M37" s="5">
        <v>336528</v>
      </c>
      <c r="N37" s="5">
        <v>422460</v>
      </c>
      <c r="O37" s="6">
        <f t="shared" si="12"/>
        <v>562374</v>
      </c>
      <c r="P37" s="5">
        <v>562374</v>
      </c>
      <c r="Q37" s="5">
        <v>734954</v>
      </c>
      <c r="R37" s="5">
        <v>1232189</v>
      </c>
      <c r="S37" s="5">
        <v>1267201</v>
      </c>
      <c r="T37" s="6">
        <f t="shared" si="3"/>
        <v>540013</v>
      </c>
      <c r="U37" s="5">
        <v>540013</v>
      </c>
      <c r="V37" s="5">
        <v>893738</v>
      </c>
      <c r="W37" s="5">
        <v>890377</v>
      </c>
      <c r="X37" s="5">
        <v>970262</v>
      </c>
      <c r="Y37" s="6">
        <f t="shared" si="4"/>
        <v>703510</v>
      </c>
      <c r="Z37" s="5">
        <v>703510</v>
      </c>
      <c r="AA37" s="5">
        <v>409763</v>
      </c>
      <c r="AB37" s="5">
        <v>91757</v>
      </c>
    </row>
    <row r="38" spans="1:28">
      <c r="A38" s="3" t="s">
        <v>40</v>
      </c>
      <c r="B38" s="5">
        <v>400973</v>
      </c>
      <c r="C38" s="5">
        <v>461471</v>
      </c>
      <c r="D38" s="5">
        <v>538315</v>
      </c>
      <c r="E38" s="6">
        <f t="shared" si="10"/>
        <v>596338</v>
      </c>
      <c r="F38" s="5">
        <v>596338</v>
      </c>
      <c r="G38" s="5">
        <v>632471</v>
      </c>
      <c r="H38" s="5">
        <v>704131</v>
      </c>
      <c r="I38" s="5">
        <v>779001</v>
      </c>
      <c r="J38" s="7">
        <f t="shared" si="11"/>
        <v>824953</v>
      </c>
      <c r="K38" s="5">
        <v>824953</v>
      </c>
      <c r="L38" s="5">
        <v>833538</v>
      </c>
      <c r="M38" s="5">
        <v>915934</v>
      </c>
      <c r="N38" s="5">
        <v>1007865</v>
      </c>
      <c r="O38" s="6">
        <f t="shared" si="12"/>
        <v>1152783</v>
      </c>
      <c r="P38" s="5">
        <v>1152783</v>
      </c>
      <c r="Q38" s="5">
        <v>4983945</v>
      </c>
      <c r="R38" s="5">
        <v>5482455</v>
      </c>
      <c r="S38" s="5">
        <v>5523426</v>
      </c>
      <c r="T38" s="6">
        <f t="shared" si="3"/>
        <v>4802481</v>
      </c>
      <c r="U38" s="5">
        <v>4802481</v>
      </c>
      <c r="V38" s="5">
        <v>5136047</v>
      </c>
      <c r="W38" s="5">
        <v>5136353</v>
      </c>
      <c r="X38" s="5">
        <v>5224603</v>
      </c>
      <c r="Y38" s="6">
        <f t="shared" si="4"/>
        <v>4962566</v>
      </c>
      <c r="Z38" s="5">
        <v>4962566</v>
      </c>
      <c r="AA38" s="5">
        <v>4657232</v>
      </c>
      <c r="AB38" s="5">
        <v>4342060</v>
      </c>
    </row>
    <row r="39" spans="1:28">
      <c r="A39" s="3" t="s">
        <v>41</v>
      </c>
      <c r="B39" s="6">
        <v>3109689</v>
      </c>
      <c r="C39" s="6">
        <v>3322852</v>
      </c>
      <c r="D39" s="6">
        <v>3193585</v>
      </c>
      <c r="E39" s="6">
        <f t="shared" si="10"/>
        <v>2932309</v>
      </c>
      <c r="F39" s="6">
        <v>2932309</v>
      </c>
      <c r="G39" s="6">
        <v>3199465</v>
      </c>
      <c r="H39" s="6">
        <v>3249971</v>
      </c>
      <c r="I39" s="6">
        <v>3297759</v>
      </c>
      <c r="J39" s="7">
        <f t="shared" si="11"/>
        <v>3249490</v>
      </c>
      <c r="K39" s="6">
        <v>3249490</v>
      </c>
      <c r="L39" s="6">
        <v>3561358</v>
      </c>
      <c r="M39" s="6">
        <v>3764678</v>
      </c>
      <c r="N39" s="6">
        <v>4014934</v>
      </c>
      <c r="O39" s="6">
        <f t="shared" si="12"/>
        <v>4173671</v>
      </c>
      <c r="P39" s="6">
        <v>4173671</v>
      </c>
      <c r="Q39" s="6">
        <v>9379506</v>
      </c>
      <c r="R39" s="6">
        <v>10626094</v>
      </c>
      <c r="S39" s="6">
        <v>10809148</v>
      </c>
      <c r="T39" s="6">
        <f t="shared" si="3"/>
        <v>10714343</v>
      </c>
      <c r="U39" s="6">
        <v>10714343</v>
      </c>
      <c r="V39" s="6">
        <v>12051185</v>
      </c>
      <c r="W39" s="6">
        <v>12085902</v>
      </c>
      <c r="X39" s="6">
        <v>11537698</v>
      </c>
      <c r="Y39" s="6">
        <f t="shared" si="4"/>
        <v>10595160</v>
      </c>
      <c r="Z39" s="6">
        <v>10595160</v>
      </c>
      <c r="AA39" s="6">
        <v>10476916</v>
      </c>
      <c r="AB39" s="6">
        <v>10733112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F8C0-1D80-4071-A715-1B674B2B9891}">
  <dimension ref="A1:AD15"/>
  <sheetViews>
    <sheetView workbookViewId="0">
      <selection activeCell="F5" sqref="F5"/>
    </sheetView>
  </sheetViews>
  <sheetFormatPr defaultColWidth="12.28515625" defaultRowHeight="15"/>
  <cols>
    <col min="1" max="1" width="50" style="12" customWidth="1"/>
    <col min="2" max="2" width="12.42578125" style="12" customWidth="1"/>
    <col min="3" max="3" width="12" style="12" customWidth="1"/>
    <col min="4" max="4" width="12.28515625" style="12" customWidth="1"/>
    <col min="5" max="5" width="10.42578125" style="12" customWidth="1"/>
    <col min="6" max="6" width="12.28515625" style="12" customWidth="1"/>
    <col min="7" max="7" width="9.28515625" style="12" customWidth="1"/>
    <col min="8" max="8" width="12" style="12" customWidth="1"/>
    <col min="9" max="9" width="12.28515625" style="12" customWidth="1"/>
    <col min="10" max="10" width="10.42578125" style="12" customWidth="1"/>
    <col min="11" max="11" width="12.28515625" style="12" customWidth="1"/>
    <col min="12" max="12" width="9.28515625" style="12" customWidth="1"/>
    <col min="13" max="13" width="12" style="12" customWidth="1"/>
    <col min="14" max="14" width="12.28515625" style="12" customWidth="1"/>
    <col min="15" max="15" width="10.42578125" style="12" customWidth="1"/>
    <col min="16" max="16" width="12.28515625" style="12" customWidth="1"/>
    <col min="17" max="17" width="9.42578125" style="12" customWidth="1"/>
    <col min="18" max="18" width="12" style="12" bestFit="1" customWidth="1"/>
    <col min="19" max="19" width="12.28515625" style="12"/>
    <col min="20" max="20" width="13.85546875" style="12" customWidth="1"/>
    <col min="21" max="21" width="12.28515625" style="12"/>
    <col min="22" max="22" width="12.42578125" style="12" bestFit="1" customWidth="1"/>
    <col min="23" max="23" width="12" style="12" bestFit="1" customWidth="1"/>
    <col min="24" max="26" width="12.28515625" style="12"/>
    <col min="27" max="27" width="12.42578125" style="12" bestFit="1" customWidth="1"/>
    <col min="28" max="28" width="12" style="12" bestFit="1" customWidth="1"/>
    <col min="29" max="16384" width="12.28515625" style="12"/>
  </cols>
  <sheetData>
    <row r="1" spans="1:30">
      <c r="A1" s="13"/>
      <c r="B1" s="13"/>
      <c r="C1" s="13" t="s">
        <v>106</v>
      </c>
      <c r="D1" s="13" t="s">
        <v>107</v>
      </c>
      <c r="E1" s="13"/>
      <c r="F1" s="13"/>
      <c r="G1" s="13"/>
      <c r="H1" s="13" t="s">
        <v>106</v>
      </c>
      <c r="I1" s="13" t="s">
        <v>107</v>
      </c>
      <c r="J1" s="13"/>
      <c r="K1" s="13"/>
      <c r="L1" s="13"/>
      <c r="M1" s="13" t="s">
        <v>106</v>
      </c>
      <c r="N1" s="13" t="s">
        <v>107</v>
      </c>
      <c r="O1" s="13"/>
      <c r="P1" s="13"/>
      <c r="Q1" s="13"/>
      <c r="R1" s="13" t="s">
        <v>106</v>
      </c>
      <c r="S1" s="13" t="s">
        <v>107</v>
      </c>
      <c r="W1" s="13" t="s">
        <v>106</v>
      </c>
      <c r="X1" s="13" t="s">
        <v>107</v>
      </c>
      <c r="AB1" s="13" t="s">
        <v>106</v>
      </c>
      <c r="AC1" s="13" t="s">
        <v>107</v>
      </c>
    </row>
    <row r="2" spans="1:30">
      <c r="A2" s="13"/>
      <c r="B2" s="9" t="s">
        <v>9</v>
      </c>
      <c r="C2" s="9" t="s">
        <v>43</v>
      </c>
      <c r="D2" s="9" t="s">
        <v>45</v>
      </c>
      <c r="E2" s="9" t="s">
        <v>48</v>
      </c>
      <c r="F2" s="9" t="s">
        <v>47</v>
      </c>
      <c r="G2" s="9" t="s">
        <v>51</v>
      </c>
      <c r="H2" s="9" t="s">
        <v>56</v>
      </c>
      <c r="I2" s="9" t="s">
        <v>58</v>
      </c>
      <c r="J2" s="9" t="s">
        <v>61</v>
      </c>
      <c r="K2" s="9" t="s">
        <v>60</v>
      </c>
      <c r="L2" s="9" t="s">
        <v>63</v>
      </c>
      <c r="M2" s="9" t="s">
        <v>65</v>
      </c>
      <c r="N2" s="9" t="s">
        <v>67</v>
      </c>
      <c r="O2" s="9" t="s">
        <v>70</v>
      </c>
      <c r="P2" s="9" t="s">
        <v>69</v>
      </c>
      <c r="Q2" s="9" t="s">
        <v>72</v>
      </c>
      <c r="R2" s="9" t="s">
        <v>74</v>
      </c>
      <c r="S2" s="12" t="s">
        <v>76</v>
      </c>
      <c r="T2" s="9" t="s">
        <v>79</v>
      </c>
      <c r="U2" s="16" t="s">
        <v>78</v>
      </c>
      <c r="V2" s="14" t="s">
        <v>83</v>
      </c>
      <c r="W2" s="14" t="s">
        <v>86</v>
      </c>
      <c r="X2" s="14" t="s">
        <v>88</v>
      </c>
      <c r="Y2" s="14" t="s">
        <v>91</v>
      </c>
      <c r="Z2" s="14" t="s">
        <v>90</v>
      </c>
      <c r="AA2" s="14" t="s">
        <v>92</v>
      </c>
      <c r="AB2" s="14" t="s">
        <v>95</v>
      </c>
    </row>
    <row r="3" spans="1:30">
      <c r="A3" s="13"/>
      <c r="B3" s="9" t="s">
        <v>0</v>
      </c>
      <c r="C3" s="9" t="s">
        <v>42</v>
      </c>
      <c r="D3" s="9" t="s">
        <v>44</v>
      </c>
      <c r="E3" s="9"/>
      <c r="F3" s="9" t="s">
        <v>46</v>
      </c>
      <c r="G3" s="9" t="s">
        <v>50</v>
      </c>
      <c r="H3" s="9" t="s">
        <v>55</v>
      </c>
      <c r="I3" s="9" t="s">
        <v>57</v>
      </c>
      <c r="J3" s="9"/>
      <c r="K3" s="9" t="s">
        <v>59</v>
      </c>
      <c r="L3" s="9" t="s">
        <v>62</v>
      </c>
      <c r="M3" s="9" t="s">
        <v>64</v>
      </c>
      <c r="N3" s="9" t="s">
        <v>66</v>
      </c>
      <c r="O3" s="13"/>
      <c r="P3" s="9" t="s">
        <v>68</v>
      </c>
      <c r="Q3" s="9" t="s">
        <v>71</v>
      </c>
      <c r="R3" s="9" t="s">
        <v>73</v>
      </c>
      <c r="T3"/>
      <c r="U3" s="14" t="s">
        <v>77</v>
      </c>
      <c r="V3" s="14" t="s">
        <v>82</v>
      </c>
      <c r="W3" s="14" t="s">
        <v>84</v>
      </c>
      <c r="X3" s="14" t="s">
        <v>87</v>
      </c>
      <c r="Y3" s="14"/>
      <c r="Z3" s="14" t="s">
        <v>89</v>
      </c>
      <c r="AA3" s="14" t="s">
        <v>93</v>
      </c>
      <c r="AB3" s="14" t="s">
        <v>94</v>
      </c>
    </row>
    <row r="4" spans="1:30">
      <c r="A4" s="10" t="s">
        <v>103</v>
      </c>
      <c r="B4" s="11">
        <v>22819</v>
      </c>
      <c r="C4" s="17">
        <v>24768</v>
      </c>
      <c r="D4" s="17">
        <v>25104</v>
      </c>
      <c r="E4" s="17">
        <v>25215</v>
      </c>
      <c r="F4" s="11">
        <v>97906</v>
      </c>
      <c r="G4" s="11">
        <v>23576</v>
      </c>
      <c r="H4" s="17">
        <v>23814</v>
      </c>
      <c r="I4" s="17">
        <v>24381</v>
      </c>
      <c r="J4" s="17">
        <v>28267</v>
      </c>
      <c r="K4" s="11">
        <v>100038</v>
      </c>
      <c r="L4" s="11">
        <v>29400</v>
      </c>
      <c r="M4" s="17">
        <v>28475</v>
      </c>
      <c r="N4" s="17">
        <v>29423</v>
      </c>
      <c r="O4" s="17">
        <v>29268</v>
      </c>
      <c r="P4" s="11">
        <v>116566</v>
      </c>
      <c r="Q4" s="11">
        <v>134331</v>
      </c>
      <c r="R4" s="17">
        <v>127222</v>
      </c>
      <c r="S4" s="17">
        <v>139947</v>
      </c>
      <c r="T4" s="17">
        <v>145852</v>
      </c>
      <c r="U4" s="15">
        <v>547352</v>
      </c>
      <c r="V4" s="15">
        <v>111946</v>
      </c>
      <c r="W4" s="17">
        <v>117859</v>
      </c>
      <c r="X4" s="17">
        <v>125667</v>
      </c>
      <c r="Y4" s="17">
        <v>141668</v>
      </c>
      <c r="Z4" s="15">
        <v>497140</v>
      </c>
      <c r="AA4" s="15">
        <v>136549</v>
      </c>
      <c r="AB4" s="17">
        <v>138966</v>
      </c>
    </row>
    <row r="5" spans="1:30">
      <c r="A5" s="10" t="s">
        <v>104</v>
      </c>
      <c r="B5" s="11">
        <v>-20113</v>
      </c>
      <c r="C5" s="17">
        <v>-29835</v>
      </c>
      <c r="D5" s="17">
        <v>-28745</v>
      </c>
      <c r="E5" s="17">
        <v>-22718</v>
      </c>
      <c r="F5" s="11">
        <v>-101411</v>
      </c>
      <c r="G5" s="11">
        <v>-21524</v>
      </c>
      <c r="H5" s="17">
        <v>-23868</v>
      </c>
      <c r="I5" s="17">
        <v>-32545</v>
      </c>
      <c r="J5" s="17">
        <v>-34933</v>
      </c>
      <c r="K5" s="11">
        <v>-112870</v>
      </c>
      <c r="L5" s="11">
        <v>-28498</v>
      </c>
      <c r="M5" s="17">
        <v>-26311</v>
      </c>
      <c r="N5" s="17">
        <v>-28699</v>
      </c>
      <c r="O5" s="17">
        <v>-28574</v>
      </c>
      <c r="P5" s="11">
        <v>-112082</v>
      </c>
      <c r="Q5" s="11">
        <v>-39263</v>
      </c>
      <c r="R5" s="17">
        <v>-59030</v>
      </c>
      <c r="S5" s="17">
        <v>-61886</v>
      </c>
      <c r="T5" s="17">
        <v>-67712</v>
      </c>
      <c r="U5" s="15">
        <v>-227891</v>
      </c>
      <c r="V5" s="15">
        <v>-50475</v>
      </c>
      <c r="W5" s="17">
        <v>-69063</v>
      </c>
      <c r="X5" s="17">
        <v>-85703</v>
      </c>
      <c r="Y5" s="17">
        <v>-134911</v>
      </c>
      <c r="Z5" s="15">
        <v>-340152</v>
      </c>
      <c r="AA5" s="15">
        <v>-105645</v>
      </c>
      <c r="AB5" s="17">
        <v>-125465</v>
      </c>
    </row>
    <row r="6" spans="1:30">
      <c r="A6" s="10" t="s">
        <v>105</v>
      </c>
      <c r="B6" s="11">
        <v>-4855</v>
      </c>
      <c r="C6" s="17">
        <v>0</v>
      </c>
      <c r="D6" s="17">
        <v>0</v>
      </c>
      <c r="E6" s="17">
        <v>-40</v>
      </c>
      <c r="F6" s="11">
        <v>-4895</v>
      </c>
      <c r="G6" s="11">
        <v>-2450</v>
      </c>
      <c r="H6" s="17">
        <v>0</v>
      </c>
      <c r="I6" s="17">
        <v>-7942</v>
      </c>
      <c r="J6" s="17">
        <v>0</v>
      </c>
      <c r="K6" s="11">
        <v>-10392</v>
      </c>
      <c r="L6" s="11">
        <v>-3834</v>
      </c>
      <c r="M6" s="17">
        <v>-319</v>
      </c>
      <c r="N6" s="17">
        <v>0</v>
      </c>
      <c r="O6" s="17">
        <v>0</v>
      </c>
      <c r="P6" s="11">
        <v>-4153</v>
      </c>
      <c r="Q6" s="11">
        <v>-10418</v>
      </c>
      <c r="R6" s="17">
        <v>-7289</v>
      </c>
      <c r="S6" s="17">
        <v>-547911</v>
      </c>
      <c r="T6" s="17">
        <v>-1149143</v>
      </c>
      <c r="U6" s="15">
        <v>-1714761</v>
      </c>
      <c r="V6" s="15">
        <v>-354965</v>
      </c>
      <c r="W6" s="17">
        <v>-938735</v>
      </c>
      <c r="X6" s="17">
        <v>-685845</v>
      </c>
      <c r="Y6" s="17">
        <v>-648763</v>
      </c>
      <c r="Z6" s="15">
        <v>-2628308</v>
      </c>
      <c r="AA6" s="15">
        <v>-626646</v>
      </c>
      <c r="AB6" s="17">
        <v>-787843</v>
      </c>
    </row>
    <row r="7" spans="1:30">
      <c r="B7" s="17"/>
    </row>
    <row r="8" spans="1:30">
      <c r="B8" s="17"/>
      <c r="C8" s="17">
        <v>24768</v>
      </c>
      <c r="D8" s="17">
        <v>25104</v>
      </c>
      <c r="E8" s="17">
        <v>25215</v>
      </c>
      <c r="H8" s="17">
        <v>23814</v>
      </c>
      <c r="I8" s="17">
        <v>24381</v>
      </c>
      <c r="J8" s="17">
        <v>28267</v>
      </c>
      <c r="M8" s="17">
        <v>28475</v>
      </c>
      <c r="N8" s="17">
        <v>29423</v>
      </c>
      <c r="O8" s="17">
        <v>29268</v>
      </c>
      <c r="R8" s="17">
        <v>127222</v>
      </c>
      <c r="S8" s="17">
        <v>139947</v>
      </c>
      <c r="T8" s="17">
        <v>145852</v>
      </c>
      <c r="W8" s="17">
        <v>117859</v>
      </c>
      <c r="X8" s="17">
        <v>125667</v>
      </c>
      <c r="Y8" s="17">
        <v>141668</v>
      </c>
      <c r="AB8" s="17">
        <v>138966</v>
      </c>
      <c r="AC8" s="17"/>
      <c r="AD8" s="17">
        <f>AE4-AC4</f>
        <v>0</v>
      </c>
    </row>
    <row r="9" spans="1:30">
      <c r="C9" s="17">
        <v>-29835</v>
      </c>
      <c r="D9" s="17">
        <v>-28745</v>
      </c>
      <c r="E9" s="17">
        <v>-22718</v>
      </c>
      <c r="H9" s="17">
        <v>-23868</v>
      </c>
      <c r="I9" s="17">
        <v>-32545</v>
      </c>
      <c r="J9" s="17">
        <v>-34933</v>
      </c>
      <c r="M9" s="17">
        <v>-26311</v>
      </c>
      <c r="N9" s="17">
        <v>-28699</v>
      </c>
      <c r="O9" s="17">
        <v>-28574</v>
      </c>
      <c r="R9" s="17">
        <v>-59030</v>
      </c>
      <c r="S9" s="17">
        <v>-61886</v>
      </c>
      <c r="T9" s="17">
        <v>-67712</v>
      </c>
      <c r="W9" s="17">
        <v>-69063</v>
      </c>
      <c r="X9" s="17">
        <v>-85703</v>
      </c>
      <c r="Y9" s="17">
        <v>-134911</v>
      </c>
      <c r="AB9" s="17">
        <v>-125465</v>
      </c>
    </row>
    <row r="10" spans="1:30">
      <c r="C10" s="17">
        <v>0</v>
      </c>
      <c r="D10" s="17">
        <v>0</v>
      </c>
      <c r="E10" s="17">
        <v>-40</v>
      </c>
      <c r="H10" s="17">
        <v>0</v>
      </c>
      <c r="I10" s="17">
        <v>-7942</v>
      </c>
      <c r="J10" s="17">
        <v>0</v>
      </c>
      <c r="M10" s="17">
        <v>-319</v>
      </c>
      <c r="N10" s="17">
        <v>0</v>
      </c>
      <c r="O10" s="17">
        <v>0</v>
      </c>
      <c r="R10" s="17">
        <v>-7289</v>
      </c>
      <c r="S10" s="17">
        <v>-547911</v>
      </c>
      <c r="T10" s="17">
        <v>-1149143</v>
      </c>
      <c r="W10" s="17">
        <v>-938735</v>
      </c>
      <c r="X10" s="17">
        <v>-685845</v>
      </c>
      <c r="Y10" s="17">
        <v>-648763</v>
      </c>
      <c r="AB10" s="17">
        <v>-787843</v>
      </c>
    </row>
    <row r="13" spans="1:30">
      <c r="S13" s="17"/>
    </row>
    <row r="14" spans="1:30">
      <c r="E14" s="17"/>
    </row>
    <row r="15" spans="1:30">
      <c r="F15" s="17"/>
      <c r="T15" s="1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9F184549045A4FA442C6368AB7A9A2" ma:contentTypeVersion="9" ma:contentTypeDescription="Create a new document." ma:contentTypeScope="" ma:versionID="797051af5a9c922697cab66c78ab0180">
  <xsd:schema xmlns:xsd="http://www.w3.org/2001/XMLSchema" xmlns:xs="http://www.w3.org/2001/XMLSchema" xmlns:p="http://schemas.microsoft.com/office/2006/metadata/properties" xmlns:ns3="6988fbf8-9a6b-4246-b446-a4050428203d" xmlns:ns4="d3340deb-911c-41de-9e28-31c1f5d89008" targetNamespace="http://schemas.microsoft.com/office/2006/metadata/properties" ma:root="true" ma:fieldsID="61787060bd51749e151bb56e4756b231" ns3:_="" ns4:_="">
    <xsd:import namespace="6988fbf8-9a6b-4246-b446-a4050428203d"/>
    <xsd:import namespace="d3340deb-911c-41de-9e28-31c1f5d8900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8fbf8-9a6b-4246-b446-a40504282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340deb-911c-41de-9e28-31c1f5d890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988fbf8-9a6b-4246-b446-a405042820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BEF21F-C761-4D6A-A45A-9808D73A9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8fbf8-9a6b-4246-b446-a4050428203d"/>
    <ds:schemaRef ds:uri="d3340deb-911c-41de-9e28-31c1f5d89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F568C4-BD31-4279-A448-90273BDBABAC}">
  <ds:schemaRefs>
    <ds:schemaRef ds:uri="http://schemas.openxmlformats.org/package/2006/metadata/core-properties"/>
    <ds:schemaRef ds:uri="http://purl.org/dc/terms/"/>
    <ds:schemaRef ds:uri="6988fbf8-9a6b-4246-b446-a4050428203d"/>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d3340deb-911c-41de-9e28-31c1f5d89008"/>
    <ds:schemaRef ds:uri="http://www.w3.org/XML/1998/namespace"/>
  </ds:schemaRefs>
</ds:datastoreItem>
</file>

<file path=customXml/itemProps3.xml><?xml version="1.0" encoding="utf-8"?>
<ds:datastoreItem xmlns:ds="http://schemas.openxmlformats.org/officeDocument/2006/customXml" ds:itemID="{681AB063-0239-4224-A785-773A7BDA56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Tear Sheet</vt:lpstr>
      <vt:lpstr>Summary</vt:lpstr>
      <vt:lpstr>Operating Model</vt:lpstr>
      <vt:lpstr>DCF Valuation</vt:lpstr>
      <vt:lpstr>Comparable Valuation</vt:lpstr>
      <vt:lpstr>Historical Valuation</vt:lpstr>
      <vt:lpstr>His </vt:lpstr>
      <vt:lpstr>Comparable Valuation (2)</vt:lpstr>
      <vt:lpstr>Debt Schedule</vt:lpstr>
      <vt:lpstr>Share Repurchase</vt:lpstr>
      <vt:lpstr>Beta</vt:lpstr>
      <vt:lpstr>Share Price CAGR</vt:lpstr>
      <vt:lpstr>Sheet1</vt:lpstr>
      <vt:lpstr>BS</vt:lpstr>
      <vt:lpstr>CF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David A</dc:creator>
  <cp:lastModifiedBy>Sanchez, David A</cp:lastModifiedBy>
  <dcterms:created xsi:type="dcterms:W3CDTF">2023-09-16T22:38:28Z</dcterms:created>
  <dcterms:modified xsi:type="dcterms:W3CDTF">2023-10-12T04:45:35Z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0x0101003F9F184549045A4FA442C6368AB7A9A2</vt:lpwstr>
  </property>
</Properties>
</file>